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d.docs.live.net/4b0d614d4e1431af/Documentos/MIDUVI 2021/Catastro/Info SNC/"/>
    </mc:Choice>
  </mc:AlternateContent>
  <xr:revisionPtr revIDLastSave="0" documentId="8_{82896E05-1401-4E33-AD92-2079F6D6FEDA}" xr6:coauthVersionLast="47" xr6:coauthVersionMax="47" xr10:uidLastSave="{00000000-0000-0000-0000-000000000000}"/>
  <bookViews>
    <workbookView xWindow="-110" yWindow="-110" windowWidth="19420" windowHeight="10300" firstSheet="2" activeTab="5" xr2:uid="{00000000-000D-0000-FFFF-FFFF00000000}"/>
  </bookViews>
  <sheets>
    <sheet name="RESUMEN" sheetId="9" r:id="rId1"/>
    <sheet name="ESCENARIO" sheetId="1" r:id="rId2"/>
    <sheet name="NÓMINA" sheetId="2" r:id="rId3"/>
    <sheet name="C1 - PERSONAL TECNICO" sheetId="11" r:id="rId4"/>
    <sheet name="C-2 ALQUILER - MISCELANEOS" sheetId="10" r:id="rId5"/>
    <sheet name="C3 - DIRECCION" sheetId="13" r:id="rId6"/>
    <sheet name="TABLAS" sheetId="14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13" l="1"/>
  <c r="H16" i="13"/>
  <c r="F15" i="13"/>
  <c r="H15" i="13" s="1"/>
  <c r="G15" i="13"/>
  <c r="C15" i="13"/>
  <c r="F28" i="11"/>
  <c r="G28" i="11"/>
  <c r="H28" i="11" s="1"/>
  <c r="F29" i="11"/>
  <c r="G29" i="11"/>
  <c r="H29" i="11"/>
  <c r="F30" i="11"/>
  <c r="G30" i="11"/>
  <c r="H30" i="11"/>
  <c r="F31" i="11"/>
  <c r="H31" i="11" s="1"/>
  <c r="G31" i="11"/>
  <c r="F32" i="11"/>
  <c r="G32" i="11"/>
  <c r="H32" i="11" s="1"/>
  <c r="F33" i="11"/>
  <c r="G33" i="11"/>
  <c r="H33" i="11"/>
  <c r="F34" i="11"/>
  <c r="H34" i="11" s="1"/>
  <c r="G34" i="11"/>
  <c r="F35" i="11"/>
  <c r="H35" i="11" s="1"/>
  <c r="G35" i="11"/>
  <c r="F36" i="11"/>
  <c r="G36" i="11"/>
  <c r="H36" i="11"/>
  <c r="F37" i="11"/>
  <c r="G37" i="11"/>
  <c r="H37" i="11"/>
  <c r="D28" i="11"/>
  <c r="D29" i="11"/>
  <c r="D30" i="11"/>
  <c r="D31" i="11"/>
  <c r="D32" i="11"/>
  <c r="D33" i="11"/>
  <c r="D34" i="11"/>
  <c r="D35" i="11"/>
  <c r="D36" i="11"/>
  <c r="D37" i="11"/>
  <c r="C28" i="11"/>
  <c r="C29" i="11"/>
  <c r="C30" i="11"/>
  <c r="C31" i="11"/>
  <c r="C32" i="11"/>
  <c r="C33" i="11"/>
  <c r="F23" i="11"/>
  <c r="H23" i="11" s="1"/>
  <c r="F22" i="11"/>
  <c r="H22" i="11" s="1"/>
  <c r="A22" i="2"/>
  <c r="C23" i="11" s="1"/>
  <c r="A21" i="2"/>
  <c r="C22" i="11" s="1"/>
  <c r="A17" i="2"/>
  <c r="C21" i="11" s="1"/>
  <c r="A16" i="2"/>
  <c r="C20" i="11" s="1"/>
  <c r="G22" i="2"/>
  <c r="G21" i="2"/>
  <c r="I22" i="2"/>
  <c r="I21" i="2"/>
  <c r="I23" i="2"/>
  <c r="I17" i="2"/>
  <c r="I16" i="2"/>
  <c r="A7" i="2"/>
  <c r="A8" i="2"/>
  <c r="A9" i="2"/>
  <c r="A10" i="2"/>
  <c r="A5" i="2"/>
  <c r="C32" i="1"/>
  <c r="I4" i="2"/>
  <c r="I5" i="2"/>
  <c r="I6" i="2"/>
  <c r="I7" i="2"/>
  <c r="I8" i="2"/>
  <c r="I9" i="2"/>
  <c r="I10" i="2"/>
  <c r="B9" i="2"/>
  <c r="D9" i="2" s="1"/>
  <c r="F21" i="11"/>
  <c r="H21" i="11" s="1"/>
  <c r="F20" i="11"/>
  <c r="H20" i="11" s="1"/>
  <c r="D27" i="11"/>
  <c r="D9" i="10"/>
  <c r="C9" i="10"/>
  <c r="E9" i="10" s="1"/>
  <c r="E9" i="11"/>
  <c r="F51" i="11"/>
  <c r="F52" i="11"/>
  <c r="F50" i="11"/>
  <c r="F19" i="11"/>
  <c r="F17" i="11"/>
  <c r="F13" i="11"/>
  <c r="B10" i="2"/>
  <c r="F10" i="2" s="1"/>
  <c r="B5" i="2"/>
  <c r="F5" i="2" s="1"/>
  <c r="B4" i="2"/>
  <c r="F4" i="2" s="1"/>
  <c r="N4" i="2"/>
  <c r="D22" i="2"/>
  <c r="D21" i="2"/>
  <c r="G27" i="11" l="1"/>
  <c r="D10" i="2"/>
  <c r="D17" i="2"/>
  <c r="C14" i="11"/>
  <c r="A6" i="2"/>
  <c r="C19" i="11"/>
  <c r="A4" i="2"/>
  <c r="D15" i="10"/>
  <c r="F15" i="10" s="1"/>
  <c r="F16" i="10" s="1"/>
  <c r="D10" i="9" s="1"/>
  <c r="D31" i="10"/>
  <c r="D25" i="10"/>
  <c r="G5" i="2"/>
  <c r="C38" i="1"/>
  <c r="B8" i="2" l="1"/>
  <c r="B6" i="2"/>
  <c r="G9" i="2"/>
  <c r="B7" i="2"/>
  <c r="F7" i="2" s="1"/>
  <c r="E10" i="2"/>
  <c r="H17" i="11"/>
  <c r="C18" i="11"/>
  <c r="C17" i="11"/>
  <c r="C16" i="11"/>
  <c r="C15" i="11"/>
  <c r="E17" i="2"/>
  <c r="H17" i="2"/>
  <c r="G17" i="2"/>
  <c r="F17" i="2"/>
  <c r="D5" i="2"/>
  <c r="E5" i="2" s="1"/>
  <c r="H10" i="2"/>
  <c r="G10" i="2"/>
  <c r="D7" i="2" l="1"/>
  <c r="F18" i="11" s="1"/>
  <c r="H18" i="11" s="1"/>
  <c r="F9" i="2"/>
  <c r="H9" i="2"/>
  <c r="G7" i="2"/>
  <c r="F6" i="2"/>
  <c r="D6" i="2"/>
  <c r="D38" i="11"/>
  <c r="D43" i="11" s="1"/>
  <c r="F8" i="2"/>
  <c r="D8" i="2"/>
  <c r="D24" i="11"/>
  <c r="D50" i="11" s="1"/>
  <c r="H19" i="11"/>
  <c r="J17" i="2"/>
  <c r="H5" i="2"/>
  <c r="J10" i="2"/>
  <c r="K10" i="2"/>
  <c r="L10" i="2" s="1"/>
  <c r="K17" i="2" l="1"/>
  <c r="L17" i="2" s="1"/>
  <c r="H7" i="2"/>
  <c r="E7" i="2"/>
  <c r="F15" i="11"/>
  <c r="H15" i="11" s="1"/>
  <c r="E6" i="2"/>
  <c r="F14" i="11"/>
  <c r="H14" i="11" s="1"/>
  <c r="E8" i="2"/>
  <c r="F16" i="11"/>
  <c r="H16" i="11" s="1"/>
  <c r="E9" i="2"/>
  <c r="K9" i="2" s="1"/>
  <c r="L9" i="2" s="1"/>
  <c r="K5" i="2"/>
  <c r="L5" i="2" s="1"/>
  <c r="J5" i="2"/>
  <c r="J7" i="2" l="1"/>
  <c r="J9" i="2"/>
  <c r="K7" i="2"/>
  <c r="L7" i="2" s="1"/>
  <c r="F37" i="10"/>
  <c r="D14" i="9" s="1"/>
  <c r="C7" i="11"/>
  <c r="E7" i="11"/>
  <c r="E8" i="11"/>
  <c r="E6" i="11"/>
  <c r="C6" i="11"/>
  <c r="C30" i="1"/>
  <c r="C29" i="1"/>
  <c r="C27" i="11"/>
  <c r="C13" i="11"/>
  <c r="H23" i="13"/>
  <c r="D27" i="13"/>
  <c r="D28" i="13" s="1"/>
  <c r="C14" i="13"/>
  <c r="D9" i="13"/>
  <c r="B9" i="13"/>
  <c r="D8" i="13"/>
  <c r="B8" i="13"/>
  <c r="D7" i="13"/>
  <c r="B7" i="13"/>
  <c r="C37" i="1"/>
  <c r="F22" i="2"/>
  <c r="F21" i="2"/>
  <c r="E22" i="2"/>
  <c r="F31" i="10"/>
  <c r="F32" i="10" s="1"/>
  <c r="D13" i="9" s="1"/>
  <c r="F25" i="10"/>
  <c r="F26" i="10" s="1"/>
  <c r="D12" i="9" s="1"/>
  <c r="F20" i="10"/>
  <c r="F21" i="10" s="1"/>
  <c r="D11" i="9" s="1"/>
  <c r="D23" i="9"/>
  <c r="C7" i="13" l="1"/>
  <c r="G14" i="13" s="1"/>
  <c r="C31" i="1"/>
  <c r="E21" i="2"/>
  <c r="H21" i="2"/>
  <c r="H22" i="2"/>
  <c r="D29" i="13"/>
  <c r="J21" i="2" l="1"/>
  <c r="K21" i="2" s="1"/>
  <c r="L21" i="2" s="1"/>
  <c r="J22" i="2"/>
  <c r="K22" i="2" s="1"/>
  <c r="L22" i="2" s="1"/>
  <c r="G43" i="11"/>
  <c r="D51" i="11" l="1"/>
  <c r="D52" i="11" s="1"/>
  <c r="H43" i="11"/>
  <c r="D4" i="2"/>
  <c r="F16" i="2"/>
  <c r="E4" i="2" l="1"/>
  <c r="H46" i="11"/>
  <c r="H4" i="2"/>
  <c r="H6" i="2"/>
  <c r="H8" i="2"/>
  <c r="G8" i="2"/>
  <c r="G16" i="2"/>
  <c r="J16" i="2" s="1"/>
  <c r="G4" i="2"/>
  <c r="D16" i="2"/>
  <c r="G6" i="2"/>
  <c r="H13" i="11" l="1"/>
  <c r="H24" i="11" s="1"/>
  <c r="D6" i="9" s="1"/>
  <c r="E16" i="2"/>
  <c r="J4" i="2"/>
  <c r="J8" i="2"/>
  <c r="J6" i="2"/>
  <c r="C39" i="1"/>
  <c r="C8" i="13"/>
  <c r="H16" i="2"/>
  <c r="K8" i="2"/>
  <c r="L8" i="2" s="1"/>
  <c r="K6" i="2"/>
  <c r="L6" i="2" s="1"/>
  <c r="K4" i="2"/>
  <c r="L4" i="2" s="1"/>
  <c r="F27" i="11" l="1"/>
  <c r="H27" i="11" s="1"/>
  <c r="G50" i="11"/>
  <c r="G51" i="11" s="1"/>
  <c r="C9" i="13"/>
  <c r="G27" i="13" s="1"/>
  <c r="K16" i="2" l="1"/>
  <c r="L16" i="2" s="1"/>
  <c r="H38" i="11"/>
  <c r="D7" i="9" s="1"/>
  <c r="H51" i="11"/>
  <c r="G52" i="11"/>
  <c r="H52" i="11" s="1"/>
  <c r="H27" i="13"/>
  <c r="G28" i="13"/>
  <c r="H28" i="13" s="1"/>
  <c r="G29" i="13"/>
  <c r="H29" i="13" s="1"/>
  <c r="H50" i="11"/>
  <c r="F10" i="10" l="1"/>
  <c r="H54" i="11"/>
  <c r="D8" i="9" s="1"/>
  <c r="H31" i="13"/>
  <c r="H56" i="11" l="1"/>
  <c r="H58" i="11" s="1"/>
  <c r="F11" i="10" l="1"/>
  <c r="F41" i="10" s="1"/>
  <c r="F43" i="10" l="1"/>
  <c r="D26" i="9" s="1"/>
  <c r="D9" i="9"/>
  <c r="D5" i="9" s="1"/>
  <c r="F14" i="13" l="1"/>
  <c r="H14" i="13" s="1"/>
  <c r="H34" i="13" s="1"/>
  <c r="H36" i="13" l="1"/>
  <c r="D15" i="9"/>
  <c r="D27" i="9" l="1"/>
  <c r="H38" i="13"/>
</calcChain>
</file>

<file path=xl/sharedStrings.xml><?xml version="1.0" encoding="utf-8"?>
<sst xmlns="http://schemas.openxmlformats.org/spreadsheetml/2006/main" count="306" uniqueCount="136">
  <si>
    <t>INFORMACIÓN GENERAL DE PROYECTO</t>
  </si>
  <si>
    <t>DESCRIPCIÓN</t>
  </si>
  <si>
    <t>CANTIDAD</t>
  </si>
  <si>
    <t>Total</t>
  </si>
  <si>
    <t>UNIDAD DE MEDIDA</t>
  </si>
  <si>
    <t>personas</t>
  </si>
  <si>
    <t>meses</t>
  </si>
  <si>
    <t>Meses de trabajo</t>
  </si>
  <si>
    <t>* Para continuar revisando la información del presupuesto es necesario completar la información de esta hoja de Escenarios</t>
  </si>
  <si>
    <t>Días laborables</t>
  </si>
  <si>
    <t xml:space="preserve">MESES </t>
  </si>
  <si>
    <t>VACACIONES</t>
  </si>
  <si>
    <t>DECIMO TERCERO</t>
  </si>
  <si>
    <t>DECIMO CUARTO</t>
  </si>
  <si>
    <t>I.E.S.S PATRONAL</t>
  </si>
  <si>
    <t>FONDO RESERVA</t>
  </si>
  <si>
    <t>TOTAL</t>
  </si>
  <si>
    <t>MENSUAL</t>
  </si>
  <si>
    <t>SUELDO TOTAL</t>
  </si>
  <si>
    <t>SUELDO MENSUAL</t>
  </si>
  <si>
    <t>Meses</t>
  </si>
  <si>
    <t>MESES DE PROYECTO</t>
  </si>
  <si>
    <t>SUELDO BÁSICO 2021</t>
  </si>
  <si>
    <t>Dólares</t>
  </si>
  <si>
    <t>No.</t>
  </si>
  <si>
    <t>PERSONAL</t>
  </si>
  <si>
    <t>CANT.</t>
  </si>
  <si>
    <t>UNIDAD</t>
  </si>
  <si>
    <t>VALOR/DIA</t>
  </si>
  <si>
    <t>SUBTOTAL</t>
  </si>
  <si>
    <t>F. COSTOS INDIRECTOS 15% E</t>
  </si>
  <si>
    <t>DÍAS LABORABLES DEL MES</t>
  </si>
  <si>
    <t>1. PERSONAL TÉCNICO</t>
  </si>
  <si>
    <t>VALOR/MES</t>
  </si>
  <si>
    <t>MESES</t>
  </si>
  <si>
    <t>Total de personas</t>
  </si>
  <si>
    <t>B. MATERIAL - EQUIPOS</t>
  </si>
  <si>
    <t>Alimentación</t>
  </si>
  <si>
    <t>Unidad</t>
  </si>
  <si>
    <t>VALOR</t>
  </si>
  <si>
    <t>DÍAS</t>
  </si>
  <si>
    <t>C. VIÁTICOS</t>
  </si>
  <si>
    <t>E. COSTOS DIRECTOS A+B+C+D</t>
  </si>
  <si>
    <t>Total de días laborables</t>
  </si>
  <si>
    <t>VALOR
USD$</t>
  </si>
  <si>
    <t>1. COSTOS DIRECTOS</t>
  </si>
  <si>
    <t>Remuneraciones</t>
  </si>
  <si>
    <t>Beneficios o cargas sociales</t>
  </si>
  <si>
    <t>Viajes y viáticos</t>
  </si>
  <si>
    <t>Subcontratos y servicios varios</t>
  </si>
  <si>
    <t>Arrendamientos y alquileres vehículos</t>
  </si>
  <si>
    <t>Arrendamientos y alquileres de equipos e instalaciones</t>
  </si>
  <si>
    <t>Suministros y materiales</t>
  </si>
  <si>
    <t>Reproducciones, ediciones y publicaciones</t>
  </si>
  <si>
    <t>Otros</t>
  </si>
  <si>
    <t>2.COSTOS INDIRECTOS</t>
  </si>
  <si>
    <t>Personal de dirección</t>
  </si>
  <si>
    <t>Personal intermedio</t>
  </si>
  <si>
    <t>Personal de mantenimiento y limpieza</t>
  </si>
  <si>
    <t>Personal subalterno</t>
  </si>
  <si>
    <t>Personal de control de calidad</t>
  </si>
  <si>
    <t>Personal informático</t>
  </si>
  <si>
    <t>Personal de servicios varios</t>
  </si>
  <si>
    <r>
      <t xml:space="preserve">3.GASTOS GENERALES </t>
    </r>
    <r>
      <rPr>
        <i/>
        <sz val="12"/>
        <color rgb="FF000000"/>
        <rFont val="Calibri Light"/>
        <family val="2"/>
      </rPr>
      <t>(No aplicable para consultores individuales)</t>
    </r>
  </si>
  <si>
    <t>Sueldos, salarios y beneficios o cargas sociales del personal directivo y administrativo que desarrolle su actividad de manera permanente en la consultora</t>
  </si>
  <si>
    <t>Arrendamientos y alquileres o depreciación y mantenimiento y operación de instalaciones y equipos, utilizados en forma permanente para  el desarrollo de sus actividades</t>
  </si>
  <si>
    <t>4. UTILIDAD EMPRESARIAL (Solo aplicable para firmas consultoras)</t>
  </si>
  <si>
    <t xml:space="preserve">ALQUILERES, ARRENDAMIENTOS, SUBCONTRATOS, MISCELANEOS </t>
  </si>
  <si>
    <t xml:space="preserve">Concepto </t>
  </si>
  <si>
    <t>Cantidad</t>
  </si>
  <si>
    <t>Tiempo</t>
  </si>
  <si>
    <t>Costo Unitario ($USD)</t>
  </si>
  <si>
    <t>Costo Total ($USD)</t>
  </si>
  <si>
    <t>Instalación de equipos computo</t>
  </si>
  <si>
    <t>Materiales de oficina</t>
  </si>
  <si>
    <t xml:space="preserve">Impresiones entregas/DVD o publicación </t>
  </si>
  <si>
    <t>COSTOS INDIRECTOS</t>
  </si>
  <si>
    <t>Gerencia General</t>
  </si>
  <si>
    <t>COSTO TOTAL POR PERSONAL TÉCNICO</t>
  </si>
  <si>
    <t>A. PERSONAL DIRECCIÓN</t>
  </si>
  <si>
    <t>COMPONENTE: DIRECCION COSTOS INDIRECTOS</t>
  </si>
  <si>
    <t>Viajes</t>
  </si>
  <si>
    <t>Hospedaje</t>
  </si>
  <si>
    <t>COMPONENTE: PERSONAL COSTOS DIRECTOS</t>
  </si>
  <si>
    <t>TOTAL CARGAS</t>
  </si>
  <si>
    <t>Laptop</t>
  </si>
  <si>
    <t>VALOR/CARGAS SOCIALES MES</t>
  </si>
  <si>
    <t>COMPONENTE: PERSONAL TÉCNICO</t>
  </si>
  <si>
    <t>1.Subcontratos y servicios varios</t>
  </si>
  <si>
    <t>SubTotal</t>
  </si>
  <si>
    <t>2. Arrendamientos y alquileres vehículos</t>
  </si>
  <si>
    <t>3. Arrendamientos y alquileres de equipos e instalaciones</t>
  </si>
  <si>
    <t>4. Suministros y materiales</t>
  </si>
  <si>
    <t>5. Reproducciones, ediciones y publicaciones</t>
  </si>
  <si>
    <t>6. Otros</t>
  </si>
  <si>
    <t xml:space="preserve"> </t>
  </si>
  <si>
    <t>COSTO TOTAL POR MISCELANEOS</t>
  </si>
  <si>
    <t>COSTO TOTAL POR PERSONAL DIRECCION</t>
  </si>
  <si>
    <t>CATEGORIA</t>
  </si>
  <si>
    <t>A</t>
  </si>
  <si>
    <t>B</t>
  </si>
  <si>
    <t>C</t>
  </si>
  <si>
    <t>D</t>
  </si>
  <si>
    <t>CANTIDAD/PESO</t>
  </si>
  <si>
    <t>LOGICO</t>
  </si>
  <si>
    <t>SI</t>
  </si>
  <si>
    <t>NO</t>
  </si>
  <si>
    <t>persona</t>
  </si>
  <si>
    <t xml:space="preserve">2. PERSONAL AUXILIAR </t>
  </si>
  <si>
    <t>Participación</t>
  </si>
  <si>
    <t>porcentaje</t>
  </si>
  <si>
    <t>Direccion Administrativa</t>
  </si>
  <si>
    <t>Asistente Tecnico</t>
  </si>
  <si>
    <t>Asistente Administrativo</t>
  </si>
  <si>
    <t>Polizas</t>
  </si>
  <si>
    <t>Vehiculo</t>
  </si>
  <si>
    <t>3. DIRECCIÓN</t>
  </si>
  <si>
    <t>DESCRIPCION</t>
  </si>
  <si>
    <t>Viaticos Alimentación</t>
  </si>
  <si>
    <t>Viaticos Hospedaje</t>
  </si>
  <si>
    <t>Viaticos Movilización</t>
  </si>
  <si>
    <t>Porcentaje de Anticipo</t>
  </si>
  <si>
    <t>PRESUPUESTO DIAGNOSTICO PARTICULARIZADO</t>
  </si>
  <si>
    <t>Año ( meses)</t>
  </si>
  <si>
    <t xml:space="preserve">SBU: </t>
  </si>
  <si>
    <t>Décimo cuarto</t>
  </si>
  <si>
    <t>Décimo tercero</t>
  </si>
  <si>
    <t>Sueldo x año</t>
  </si>
  <si>
    <t>Diciembre/ nov</t>
  </si>
  <si>
    <t>Vacaciones</t>
  </si>
  <si>
    <t>15 días/ año</t>
  </si>
  <si>
    <t>Días en campo ( sitio)</t>
  </si>
  <si>
    <t>Equipo Clave</t>
  </si>
  <si>
    <t>Equipo de Apoyo</t>
  </si>
  <si>
    <t>&lt;Detallar cargos del Equipo técnico mínimo clave&gt;</t>
  </si>
  <si>
    <t>Contratos profesionales especialistas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</si>
</sst>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7" formatCode="&quot;$&quot;#,##0.00_);\(&quot;$&quot;#,##0.00\)"/>
    <numFmt numFmtId="164" formatCode="_-* #,##0.00_-;\-* #,##0.00_-;_-* &quot;-&quot;??_-;_-@_-"/>
    <numFmt numFmtId="165" formatCode="&quot;$&quot;#,##0.00;&quot;$&quot;\-#,##0.00"/>
    <numFmt numFmtId="166" formatCode="_ &quot;$&quot;* #,##0.00_ ;_ &quot;$&quot;* \-#,##0.00_ ;_ &quot;$&quot;* &quot;-&quot;??_ ;_ @_ "/>
    <numFmt numFmtId="167" formatCode="_ * #,##0.00_ ;_ * \-#,##0.00_ ;_ * &quot;-&quot;??_ ;_ @_ "/>
    <numFmt numFmtId="168" formatCode="_ [$$-300A]* #,##0.00_ ;_ [$$-300A]* \-#,##0.00_ ;_ [$$-300A]* &quot;-&quot;??_ ;_ @_ "/>
    <numFmt numFmtId="169" formatCode="&quot;$&quot;#,##0.00"/>
    <numFmt numFmtId="170" formatCode="_(&quot;$&quot;\ * #,##0.00_);_(&quot;$&quot;\ * \(#,##0.00\);_(&quot;$&quot;\ * &quot;-&quot;??_);_(@_)"/>
    <numFmt numFmtId="171" formatCode="[$$-409]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 Light"/>
      <family val="2"/>
    </font>
    <font>
      <b/>
      <sz val="12"/>
      <color rgb="FF000000"/>
      <name val="Calibri Light"/>
      <family val="2"/>
    </font>
    <font>
      <sz val="12"/>
      <color theme="1"/>
      <name val="Calibri Light"/>
      <family val="2"/>
    </font>
    <font>
      <i/>
      <sz val="12"/>
      <color rgb="FF000000"/>
      <name val="Calibri Light"/>
      <family val="2"/>
    </font>
    <font>
      <b/>
      <sz val="16"/>
      <color theme="1"/>
      <name val="Calibri"/>
      <family val="2"/>
      <scheme val="minor"/>
    </font>
    <font>
      <b/>
      <sz val="12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i/>
      <sz val="11"/>
      <color theme="0" tint="-0.34998626667073579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color theme="0"/>
      <name val="Calibri Light"/>
      <family val="2"/>
      <scheme val="major"/>
    </font>
    <font>
      <sz val="10"/>
      <color theme="8" tint="-0.249977111117893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1"/>
      <color theme="8" tint="-0.249977111117893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10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2"/>
      <color rgb="FFFF0000"/>
      <name val="Calibri Light"/>
      <family val="2"/>
      <scheme val="major"/>
    </font>
    <font>
      <b/>
      <sz val="11"/>
      <color theme="8" tint="-0.249977111117893"/>
      <name val="Calibri Light"/>
      <family val="2"/>
      <scheme val="major"/>
    </font>
    <font>
      <b/>
      <sz val="11"/>
      <color rgb="FFFF0000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8"/>
      </top>
      <bottom/>
      <diagonal/>
    </border>
    <border>
      <left style="thin">
        <color theme="8"/>
      </left>
      <right/>
      <top/>
      <bottom/>
      <diagonal/>
    </border>
    <border>
      <left/>
      <right style="thin">
        <color theme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  <border>
      <left/>
      <right/>
      <top/>
      <bottom style="thin">
        <color theme="8"/>
      </bottom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89">
    <xf numFmtId="0" fontId="0" fillId="0" borderId="0" xfId="0"/>
    <xf numFmtId="169" fontId="4" fillId="3" borderId="9" xfId="0" applyNumberFormat="1" applyFont="1" applyFill="1" applyBorder="1" applyAlignment="1">
      <alignment horizontal="center" vertical="center" wrapText="1"/>
    </xf>
    <xf numFmtId="169" fontId="3" fillId="3" borderId="7" xfId="0" applyNumberFormat="1" applyFont="1" applyFill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169" fontId="5" fillId="0" borderId="7" xfId="1" applyNumberFormat="1" applyFont="1" applyBorder="1" applyAlignment="1">
      <alignment vertical="center" wrapText="1"/>
    </xf>
    <xf numFmtId="169" fontId="5" fillId="0" borderId="7" xfId="0" applyNumberFormat="1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169" fontId="3" fillId="3" borderId="7" xfId="1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165" fontId="0" fillId="0" borderId="0" xfId="0" applyNumberFormat="1" applyFont="1"/>
    <xf numFmtId="7" fontId="0" fillId="0" borderId="0" xfId="0" applyNumberFormat="1"/>
    <xf numFmtId="0" fontId="0" fillId="0" borderId="0" xfId="0" applyAlignment="1">
      <alignment horizontal="center"/>
    </xf>
    <xf numFmtId="0" fontId="0" fillId="6" borderId="0" xfId="0" applyFill="1"/>
    <xf numFmtId="0" fontId="7" fillId="0" borderId="0" xfId="0" applyFont="1"/>
    <xf numFmtId="0" fontId="4" fillId="3" borderId="7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166" fontId="11" fillId="0" borderId="0" xfId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9" fontId="9" fillId="0" borderId="0" xfId="9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2" borderId="2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3" fontId="15" fillId="0" borderId="1" xfId="0" applyNumberFormat="1" applyFont="1" applyBorder="1" applyAlignment="1">
      <alignment horizontal="left" vertical="center"/>
    </xf>
    <xf numFmtId="3" fontId="15" fillId="0" borderId="1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5" fillId="0" borderId="0" xfId="0" applyFont="1" applyFill="1" applyBorder="1" applyAlignment="1">
      <alignment vertical="center"/>
    </xf>
    <xf numFmtId="1" fontId="9" fillId="0" borderId="0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vertical="center"/>
    </xf>
    <xf numFmtId="9" fontId="15" fillId="0" borderId="1" xfId="9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0" xfId="0" applyFont="1"/>
    <xf numFmtId="2" fontId="9" fillId="0" borderId="0" xfId="0" applyNumberFormat="1" applyFont="1"/>
    <xf numFmtId="0" fontId="16" fillId="0" borderId="0" xfId="0" applyFont="1"/>
    <xf numFmtId="0" fontId="17" fillId="0" borderId="0" xfId="0" applyFont="1" applyFill="1" applyAlignment="1">
      <alignment horizontal="center" vertical="center" wrapText="1"/>
    </xf>
    <xf numFmtId="2" fontId="17" fillId="0" borderId="0" xfId="0" applyNumberFormat="1" applyFont="1" applyFill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Fill="1" applyBorder="1"/>
    <xf numFmtId="1" fontId="20" fillId="0" borderId="0" xfId="0" applyNumberFormat="1" applyFont="1" applyFill="1" applyBorder="1" applyAlignment="1">
      <alignment horizontal="center" vertical="center"/>
    </xf>
    <xf numFmtId="4" fontId="20" fillId="0" borderId="0" xfId="0" applyNumberFormat="1" applyFont="1" applyFill="1" applyBorder="1"/>
    <xf numFmtId="167" fontId="16" fillId="0" borderId="0" xfId="10" applyFont="1"/>
    <xf numFmtId="4" fontId="20" fillId="7" borderId="11" xfId="0" applyNumberFormat="1" applyFont="1" applyFill="1" applyBorder="1"/>
    <xf numFmtId="4" fontId="20" fillId="8" borderId="0" xfId="0" applyNumberFormat="1" applyFont="1" applyFill="1" applyBorder="1"/>
    <xf numFmtId="0" fontId="20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/>
    <xf numFmtId="0" fontId="21" fillId="0" borderId="3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2" fontId="21" fillId="0" borderId="8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4" fontId="22" fillId="0" borderId="0" xfId="0" applyNumberFormat="1" applyFont="1" applyFill="1" applyBorder="1"/>
    <xf numFmtId="4" fontId="22" fillId="5" borderId="11" xfId="0" applyNumberFormat="1" applyFont="1" applyFill="1" applyBorder="1"/>
    <xf numFmtId="0" fontId="22" fillId="0" borderId="0" xfId="0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170" fontId="23" fillId="0" borderId="0" xfId="3" applyFont="1" applyFill="1" applyBorder="1" applyAlignment="1">
      <alignment horizontal="center" vertical="center"/>
    </xf>
    <xf numFmtId="0" fontId="13" fillId="0" borderId="0" xfId="0" applyFont="1" applyFill="1" applyBorder="1"/>
    <xf numFmtId="171" fontId="24" fillId="0" borderId="0" xfId="7" applyNumberFormat="1" applyFont="1" applyFill="1" applyBorder="1"/>
    <xf numFmtId="0" fontId="9" fillId="0" borderId="0" xfId="0" applyFont="1" applyFill="1" applyBorder="1"/>
    <xf numFmtId="0" fontId="25" fillId="0" borderId="0" xfId="0" applyFont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3" fontId="15" fillId="0" borderId="0" xfId="0" applyNumberFormat="1" applyFont="1" applyBorder="1" applyAlignment="1">
      <alignment horizontal="center" vertical="center"/>
    </xf>
    <xf numFmtId="0" fontId="9" fillId="0" borderId="0" xfId="0" applyFont="1" applyFill="1"/>
    <xf numFmtId="0" fontId="1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166" fontId="13" fillId="0" borderId="0" xfId="1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/>
    </xf>
    <xf numFmtId="2" fontId="13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/>
    <xf numFmtId="3" fontId="9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166" fontId="9" fillId="0" borderId="0" xfId="1" applyFont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168" fontId="9" fillId="0" borderId="0" xfId="1" applyNumberFormat="1" applyFont="1" applyBorder="1" applyAlignment="1">
      <alignment horizontal="center"/>
    </xf>
    <xf numFmtId="0" fontId="9" fillId="0" borderId="0" xfId="0" applyFont="1" applyBorder="1" applyAlignment="1"/>
    <xf numFmtId="3" fontId="13" fillId="0" borderId="0" xfId="0" applyNumberFormat="1" applyFont="1" applyBorder="1" applyAlignment="1">
      <alignment horizontal="center"/>
    </xf>
    <xf numFmtId="3" fontId="13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3" fontId="9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8" fontId="9" fillId="0" borderId="0" xfId="0" applyNumberFormat="1" applyFont="1" applyAlignment="1">
      <alignment horizontal="center"/>
    </xf>
    <xf numFmtId="0" fontId="9" fillId="0" borderId="0" xfId="0" applyFont="1" applyBorder="1" applyAlignment="1">
      <alignment wrapText="1"/>
    </xf>
    <xf numFmtId="0" fontId="13" fillId="0" borderId="0" xfId="0" applyFont="1" applyBorder="1" applyAlignment="1"/>
    <xf numFmtId="166" fontId="13" fillId="0" borderId="0" xfId="1" applyFont="1" applyBorder="1" applyAlignment="1"/>
    <xf numFmtId="0" fontId="24" fillId="0" borderId="0" xfId="0" applyFont="1" applyBorder="1" applyAlignment="1"/>
    <xf numFmtId="166" fontId="13" fillId="0" borderId="0" xfId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166" fontId="24" fillId="0" borderId="0" xfId="1" applyFont="1" applyBorder="1" applyAlignment="1">
      <alignment horizontal="left"/>
    </xf>
    <xf numFmtId="1" fontId="9" fillId="0" borderId="0" xfId="0" applyNumberFormat="1" applyFont="1" applyBorder="1"/>
    <xf numFmtId="2" fontId="9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166" fontId="14" fillId="0" borderId="0" xfId="1" applyFont="1" applyBorder="1" applyAlignment="1">
      <alignment horizontal="center" wrapText="1"/>
    </xf>
    <xf numFmtId="1" fontId="13" fillId="0" borderId="0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22" fillId="0" borderId="0" xfId="0" applyFont="1" applyBorder="1"/>
    <xf numFmtId="0" fontId="22" fillId="0" borderId="0" xfId="0" applyFont="1"/>
    <xf numFmtId="1" fontId="13" fillId="0" borderId="0" xfId="0" applyNumberFormat="1" applyFont="1" applyBorder="1"/>
    <xf numFmtId="166" fontId="13" fillId="0" borderId="0" xfId="1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4" xfId="0" applyFont="1" applyBorder="1" applyAlignment="1">
      <alignment horizontal="left"/>
    </xf>
    <xf numFmtId="0" fontId="24" fillId="0" borderId="5" xfId="0" applyFont="1" applyBorder="1" applyAlignment="1">
      <alignment horizontal="left"/>
    </xf>
    <xf numFmtId="0" fontId="24" fillId="0" borderId="6" xfId="0" applyFont="1" applyBorder="1" applyAlignment="1">
      <alignment horizontal="left"/>
    </xf>
    <xf numFmtId="165" fontId="13" fillId="0" borderId="7" xfId="1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166" fontId="9" fillId="0" borderId="0" xfId="1" applyFont="1" applyAlignment="1">
      <alignment horizontal="right"/>
    </xf>
    <xf numFmtId="165" fontId="9" fillId="0" borderId="0" xfId="1" applyNumberFormat="1" applyFont="1" applyAlignment="1">
      <alignment horizontal="center"/>
    </xf>
    <xf numFmtId="0" fontId="24" fillId="4" borderId="4" xfId="0" applyFont="1" applyFill="1" applyBorder="1" applyAlignment="1"/>
    <xf numFmtId="0" fontId="24" fillId="4" borderId="5" xfId="0" applyFont="1" applyFill="1" applyBorder="1" applyAlignment="1"/>
    <xf numFmtId="165" fontId="24" fillId="4" borderId="7" xfId="1" applyNumberFormat="1" applyFont="1" applyFill="1" applyBorder="1" applyAlignment="1">
      <alignment horizontal="center"/>
    </xf>
    <xf numFmtId="2" fontId="9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27" fillId="0" borderId="0" xfId="0" applyFont="1" applyFill="1" applyBorder="1" applyAlignment="1"/>
    <xf numFmtId="0" fontId="24" fillId="0" borderId="0" xfId="0" applyFont="1" applyFill="1" applyBorder="1" applyAlignment="1"/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3" fontId="24" fillId="0" borderId="0" xfId="0" applyNumberFormat="1" applyFont="1" applyFill="1" applyBorder="1" applyAlignment="1">
      <alignment horizontal="center" vertical="center" wrapText="1"/>
    </xf>
    <xf numFmtId="170" fontId="24" fillId="0" borderId="0" xfId="3" applyFont="1" applyFill="1" applyBorder="1" applyAlignment="1">
      <alignment horizontal="center" vertical="center" wrapText="1"/>
    </xf>
    <xf numFmtId="170" fontId="24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wrapText="1"/>
    </xf>
    <xf numFmtId="0" fontId="22" fillId="0" borderId="0" xfId="0" applyFont="1" applyFill="1" applyBorder="1" applyAlignment="1">
      <alignment horizontal="center" vertical="center" wrapText="1"/>
    </xf>
    <xf numFmtId="170" fontId="22" fillId="0" borderId="0" xfId="3" applyFont="1" applyFill="1" applyBorder="1" applyAlignment="1">
      <alignment horizontal="center" vertical="center" wrapText="1"/>
    </xf>
    <xf numFmtId="170" fontId="9" fillId="0" borderId="0" xfId="0" applyNumberFormat="1" applyFont="1" applyFill="1"/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center"/>
    </xf>
    <xf numFmtId="166" fontId="22" fillId="0" borderId="0" xfId="1" applyFont="1" applyFill="1" applyBorder="1" applyAlignment="1">
      <alignment horizontal="center"/>
    </xf>
    <xf numFmtId="0" fontId="24" fillId="0" borderId="0" xfId="0" applyFont="1" applyFill="1" applyAlignment="1"/>
    <xf numFmtId="166" fontId="24" fillId="0" borderId="0" xfId="1" applyNumberFormat="1" applyFont="1" applyFill="1" applyAlignment="1"/>
    <xf numFmtId="0" fontId="22" fillId="0" borderId="0" xfId="0" applyFont="1" applyFill="1" applyBorder="1" applyAlignment="1">
      <alignment vertical="center" wrapText="1"/>
    </xf>
    <xf numFmtId="170" fontId="22" fillId="0" borderId="0" xfId="3" applyFont="1" applyFill="1" applyBorder="1" applyAlignment="1">
      <alignment horizontal="center" vertical="center"/>
    </xf>
    <xf numFmtId="170" fontId="22" fillId="0" borderId="0" xfId="3" applyFont="1" applyFill="1" applyBorder="1" applyAlignment="1">
      <alignment vertical="center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170" fontId="22" fillId="0" borderId="0" xfId="0" applyNumberFormat="1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70" fontId="24" fillId="0" borderId="0" xfId="3" applyFont="1" applyFill="1" applyBorder="1"/>
    <xf numFmtId="170" fontId="22" fillId="0" borderId="0" xfId="3" applyFont="1" applyFill="1" applyBorder="1"/>
    <xf numFmtId="170" fontId="9" fillId="0" borderId="0" xfId="0" applyNumberFormat="1" applyFont="1"/>
    <xf numFmtId="170" fontId="22" fillId="0" borderId="0" xfId="0" applyNumberFormat="1" applyFont="1" applyFill="1" applyBorder="1"/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170" fontId="22" fillId="0" borderId="1" xfId="3" applyNumberFormat="1" applyFont="1" applyBorder="1" applyAlignment="1">
      <alignment horizontal="center" vertical="center"/>
    </xf>
    <xf numFmtId="170" fontId="22" fillId="0" borderId="1" xfId="3" applyNumberFormat="1" applyFont="1" applyBorder="1" applyAlignment="1">
      <alignment vertical="center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/>
    </xf>
    <xf numFmtId="0" fontId="22" fillId="0" borderId="0" xfId="0" applyNumberFormat="1" applyFont="1" applyBorder="1" applyAlignment="1">
      <alignment vertical="center"/>
    </xf>
    <xf numFmtId="166" fontId="9" fillId="0" borderId="6" xfId="1" applyFont="1" applyBorder="1" applyAlignment="1">
      <alignment horizontal="center"/>
    </xf>
    <xf numFmtId="1" fontId="9" fillId="0" borderId="0" xfId="0" applyNumberFormat="1" applyFont="1" applyAlignment="1">
      <alignment horizontal="right"/>
    </xf>
    <xf numFmtId="166" fontId="9" fillId="0" borderId="0" xfId="1" applyFont="1" applyAlignment="1">
      <alignment horizontal="center"/>
    </xf>
    <xf numFmtId="0" fontId="24" fillId="4" borderId="6" xfId="0" applyFont="1" applyFill="1" applyBorder="1" applyAlignment="1"/>
    <xf numFmtId="166" fontId="24" fillId="4" borderId="7" xfId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3" fontId="15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wrapText="1"/>
    </xf>
    <xf numFmtId="166" fontId="9" fillId="0" borderId="0" xfId="1" applyFont="1" applyBorder="1"/>
    <xf numFmtId="0" fontId="24" fillId="0" borderId="4" xfId="0" applyFont="1" applyBorder="1" applyAlignment="1">
      <alignment horizontal="right"/>
    </xf>
    <xf numFmtId="0" fontId="24" fillId="0" borderId="5" xfId="0" applyFont="1" applyBorder="1" applyAlignment="1">
      <alignment horizontal="right"/>
    </xf>
    <xf numFmtId="0" fontId="24" fillId="0" borderId="6" xfId="0" applyFont="1" applyBorder="1" applyAlignment="1">
      <alignment horizontal="right"/>
    </xf>
    <xf numFmtId="165" fontId="9" fillId="0" borderId="7" xfId="1" applyNumberFormat="1" applyFont="1" applyBorder="1" applyAlignment="1">
      <alignment horizontal="center"/>
    </xf>
    <xf numFmtId="0" fontId="24" fillId="0" borderId="0" xfId="0" applyFont="1" applyAlignment="1">
      <alignment horizontal="left"/>
    </xf>
    <xf numFmtId="166" fontId="24" fillId="0" borderId="0" xfId="1" applyFont="1" applyAlignment="1">
      <alignment horizontal="left"/>
    </xf>
    <xf numFmtId="165" fontId="9" fillId="0" borderId="0" xfId="1" applyNumberFormat="1" applyFont="1" applyBorder="1" applyAlignment="1">
      <alignment horizontal="center"/>
    </xf>
    <xf numFmtId="0" fontId="24" fillId="4" borderId="4" xfId="0" applyFont="1" applyFill="1" applyBorder="1" applyAlignment="1">
      <alignment horizontal="right"/>
    </xf>
    <xf numFmtId="0" fontId="24" fillId="4" borderId="5" xfId="0" applyFont="1" applyFill="1" applyBorder="1" applyAlignment="1">
      <alignment horizontal="right"/>
    </xf>
    <xf numFmtId="0" fontId="24" fillId="4" borderId="6" xfId="0" applyFont="1" applyFill="1" applyBorder="1" applyAlignment="1">
      <alignment horizontal="right"/>
    </xf>
  </cellXfs>
  <cellStyles count="11">
    <cellStyle name="Millares" xfId="10" builtinId="3"/>
    <cellStyle name="Millares 2" xfId="4" xr:uid="{00000000-0005-0000-0000-000000000000}"/>
    <cellStyle name="Millares 7 2" xfId="8" xr:uid="{00000000-0005-0000-0000-000001000000}"/>
    <cellStyle name="Moneda" xfId="1" builtinId="4"/>
    <cellStyle name="Moneda 2" xfId="3" xr:uid="{00000000-0005-0000-0000-000003000000}"/>
    <cellStyle name="Normal" xfId="0" builtinId="0"/>
    <cellStyle name="Normal 5" xfId="5" xr:uid="{00000000-0005-0000-0000-000005000000}"/>
    <cellStyle name="Normal 6" xfId="6" xr:uid="{00000000-0005-0000-0000-000006000000}"/>
    <cellStyle name="Normal 7" xfId="7" xr:uid="{00000000-0005-0000-0000-000007000000}"/>
    <cellStyle name="Normal 8" xfId="2" xr:uid="{00000000-0005-0000-0000-000008000000}"/>
    <cellStyle name="Porcentaje" xfId="9" builtinId="5"/>
  </cellStyles>
  <dxfs count="239">
    <dxf>
      <font>
        <strike val="0"/>
        <outline val="0"/>
        <shadow val="0"/>
        <u val="none"/>
        <vertAlign val="baseline"/>
        <name val="Calibri Light"/>
        <family val="2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168" formatCode="_ [$$-300A]* #,##0.00_ ;_ [$$-300A]* \-#,##0.00_ ;_ [$$-300A]* &quot;-&quot;??_ ;_ @_ 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name val="Calibri Light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168" formatCode="_ [$$-300A]* #,##0.00_ ;_ [$$-300A]* \-#,##0.00_ ;_ [$$-300A]* &quot;-&quot;??_ ;_ @_ 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family val="2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168" formatCode="_ [$$-300A]* #,##0.00_ ;_ [$$-300A]* \-#,##0.00_ ;_ [$$-300A]* &quot;-&quot;??_ ;_ @_ 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family val="2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family val="2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family val="2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family val="2"/>
        <scheme val="maj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family val="2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 Light"/>
        <family val="2"/>
        <scheme val="major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numFmt numFmtId="170" formatCode="_(&quot;$&quot;\ * #,##0.00_);_(&quot;$&quot;\ * \(#,##0.00\);_(&quot;$&quot;\ * &quot;-&quot;??_);_(@_)"/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numFmt numFmtId="170" formatCode="_(&quot;$&quot;\ * #,##0.00_);_(&quot;$&quot;\ * \(#,##0.00\);_(&quot;$&quot;\ * &quot;-&quot;??_);_(@_)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numFmt numFmtId="170" formatCode="_(&quot;$&quot;\ * #,##0.00_);_(&quot;$&quot;\ * \(#,##0.00\);_(&quot;$&quot;\ 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numFmt numFmtId="170" formatCode="_(&quot;$&quot;\ * #,##0.00_);_(&quot;$&quot;\ * \(#,##0.00\);_(&quot;$&quot;\ * &quot;-&quot;??_);_(@_)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numFmt numFmtId="170" formatCode="_(&quot;$&quot;\ * #,##0.00_);_(&quot;$&quot;\ * \(#,##0.00\);_(&quot;$&quot;\ 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numFmt numFmtId="166" formatCode="_ &quot;$&quot;* #,##0.00_ ;_ &quot;$&quot;* \-#,##0.00_ ;_ &quot;$&quot;* &quot;-&quot;??_ ;_ @_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 Light"/>
        <family val="2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numFmt numFmtId="170" formatCode="_(&quot;$&quot;\ * #,##0.00_);_(&quot;$&quot;\ * \(#,##0.00\);_(&quot;$&quot;\ * &quot;-&quot;??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alibri Light"/>
        <family val="2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168" formatCode="_ [$$-300A]* #,##0.00_ ;_ [$$-300A]* \-#,##0.00_ ;_ [$$-300A]* &quot;-&quot;??_ ;_ @_ 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name val="Calibri Light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168" formatCode="_ [$$-300A]* #,##0.00_ ;_ [$$-300A]* \-#,##0.00_ ;_ [$$-300A]* &quot;-&quot;??_ ;_ @_ 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168" formatCode="_ [$$-300A]* #,##0.00_ ;_ [$$-300A]* \-#,##0.00_ ;_ [$$-300A]* &quot;-&quot;??_ ;_ @_ 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name val="Calibri Light"/>
        <family val="2"/>
        <scheme val="maj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name val="Calibri Light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168" formatCode="_ [$$-300A]* #,##0.00_ ;_ [$$-300A]* \-#,##0.00_ ;_ [$$-300A]* &quot;-&quot;??_ ;_ @_ 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168" formatCode="_ [$$-300A]* #,##0.00_ ;_ [$$-300A]* \-#,##0.00_ ;_ [$$-300A]* &quot;-&quot;??_ ;_ @_ 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name val="Calibri Light"/>
        <family val="2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168" formatCode="_ [$$-300A]* #,##0.00_ ;_ [$$-300A]* \-#,##0.00_ ;_ [$$-300A]* &quot;-&quot;??_ ;_ @_ 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168" formatCode="_ [$$-300A]* #,##0.00_ ;_ [$$-300A]* \-#,##0.00_ ;_ [$$-300A]* &quot;-&quot;??_ ;_ @_ 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family val="2"/>
        <scheme val="major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family val="2"/>
        <scheme val="major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 Light"/>
        <family val="2"/>
        <scheme val="maj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249977111117893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 Light"/>
        <family val="2"/>
        <scheme val="maj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 Light"/>
        <family val="2"/>
        <scheme val="maj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 Light"/>
        <family val="2"/>
        <scheme val="maj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 Light"/>
        <family val="2"/>
        <scheme val="maj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 Light"/>
        <family val="2"/>
        <scheme val="maj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 Light"/>
        <family val="2"/>
        <scheme val="maj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 Light"/>
        <family val="2"/>
        <scheme val="maj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 Light"/>
        <family val="2"/>
        <scheme val="maj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 Light"/>
        <family val="2"/>
        <scheme val="maj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 Light"/>
        <family val="2"/>
        <scheme val="maj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 Light"/>
        <family val="2"/>
        <scheme val="maj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numFmt numFmtId="4" formatCode="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numFmt numFmtId="4" formatCode="#,##0.00"/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numFmt numFmtId="4" formatCode="#,##0.00"/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numFmt numFmtId="4" formatCode="#,##0.00"/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numFmt numFmtId="4" formatCode="#,##0.00"/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/>
        <bottom style="thin">
          <color theme="8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color theme="8" tint="-0.249977111117893"/>
        <name val="Calibri Light"/>
        <family val="2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8" tint="-0.249977111117893"/>
        <name val="Calibri Light"/>
        <family val="2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8" tint="-0.249977111117893"/>
        <name val="Calibri Light"/>
        <family val="2"/>
        <scheme val="major"/>
      </font>
      <numFmt numFmtId="4" formatCode="#,##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theme="8" tint="-0.249977111117893"/>
        <name val="Calibri Light"/>
        <family val="2"/>
        <scheme val="major"/>
      </font>
      <numFmt numFmtId="4" formatCode="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 Light"/>
        <family val="2"/>
        <scheme val="major"/>
      </font>
      <numFmt numFmtId="4" formatCode="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theme="8" tint="-0.249977111117893"/>
        <name val="Calibri Light"/>
        <family val="2"/>
        <scheme val="major"/>
      </font>
      <numFmt numFmtId="4" formatCode="#,##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theme="8" tint="-0.249977111117893"/>
        <name val="Calibri Light"/>
        <family val="2"/>
        <scheme val="major"/>
      </font>
      <numFmt numFmtId="4" formatCode="#,##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theme="8" tint="-0.249977111117893"/>
        <name val="Calibri Light"/>
        <family val="2"/>
        <scheme val="major"/>
      </font>
      <numFmt numFmtId="4" formatCode="#,##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theme="8" tint="-0.249977111117893"/>
        <name val="Calibri Light"/>
        <family val="2"/>
        <scheme val="major"/>
      </font>
      <numFmt numFmtId="4" formatCode="#,##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theme="8" tint="-0.249977111117893"/>
        <name val="Calibri Light"/>
        <family val="2"/>
        <scheme val="major"/>
      </font>
      <numFmt numFmtId="4" formatCode="#,##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theme="8" tint="-0.249977111117893"/>
        <name val="Calibri Light"/>
        <family val="2"/>
        <scheme val="major"/>
      </font>
      <numFmt numFmtId="4" formatCode="#,##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theme="8" tint="-0.249977111117893"/>
        <name val="Calibri Light"/>
        <family val="2"/>
        <scheme val="major"/>
      </font>
      <numFmt numFmtId="4" formatCode="#,##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theme="8" tint="-0.249977111117893"/>
        <name val="Calibri Light"/>
        <family val="2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8" tint="-0.249977111117893"/>
        <name val="Calibri Light"/>
        <family val="2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family val="2"/>
        <scheme val="maj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family val="2"/>
        <scheme val="maj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family val="2"/>
        <scheme val="major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family val="2"/>
        <scheme val="major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family val="2"/>
        <scheme val="maj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family val="2"/>
        <scheme val="maj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family val="2"/>
        <scheme val="major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family val="2"/>
        <scheme val="major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 val="0"/>
        <strike val="0"/>
        <outline val="0"/>
        <shadow val="0"/>
        <u val="none"/>
        <vertAlign val="baseline"/>
        <name val="Calibri Light"/>
        <family val="2"/>
        <scheme val="major"/>
      </font>
      <alignment vertical="center" textRotation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name val="Calibri Light"/>
        <family val="2"/>
        <scheme val="major"/>
      </font>
      <alignment horizontal="center"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name val="Calibri Light"/>
        <family val="2"/>
        <scheme val="major"/>
      </font>
      <alignment horizontal="center"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name val="Calibri Light"/>
        <family val="2"/>
        <scheme val="major"/>
      </font>
      <alignment vertical="center" textRotation="0" indent="0" justifyLastLine="0" shrinkToFit="0" readingOrder="0"/>
    </dxf>
    <dxf>
      <border outline="0">
        <left style="thin">
          <color theme="8"/>
        </left>
        <right style="thin">
          <color theme="8"/>
        </right>
        <top style="thin">
          <color theme="8"/>
        </top>
      </border>
    </dxf>
    <dxf>
      <border outline="0">
        <top style="thin">
          <color theme="8"/>
        </top>
      </border>
    </dxf>
    <dxf>
      <border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border outline="0">
        <bottom style="medium">
          <color theme="8"/>
        </bottom>
      </border>
    </dxf>
    <dxf>
      <border outline="0">
        <top style="thin">
          <color rgb="FF4472C4"/>
        </top>
      </border>
    </dxf>
    <dxf>
      <border outline="0">
        <top style="thin">
          <color rgb="FF4472C4"/>
        </top>
      </border>
    </dxf>
    <dxf>
      <border diagonalUp="0" diagonalDown="0">
        <left/>
        <right/>
        <top/>
        <bottom/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Estilo de tabla 1" pivot="0" count="0" xr9:uid="{00000000-0011-0000-FFFF-FFFF00000000}"/>
    <tableStyle name="Estilo de tabla 2" pivot="0" count="1" xr9:uid="{00000000-0011-0000-FFFF-FFFF01000000}">
      <tableStyleElement type="firstColumnStripe" size="7" dxfId="23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Tabla8" displayName="Tabla8" ref="B5:D8" totalsRowShown="0" headerRowDxfId="228" dataDxfId="227">
  <autoFilter ref="B5:D8" xr:uid="{00000000-0009-0000-0100-000008000000}"/>
  <tableColumns count="3">
    <tableColumn id="1" xr3:uid="{00000000-0010-0000-0000-000001000000}" name="DESCRIPCIÓN" dataDxfId="231"/>
    <tableColumn id="2" xr3:uid="{00000000-0010-0000-0000-000002000000}" name="CANTIDAD/PESO" dataDxfId="230"/>
    <tableColumn id="3" xr3:uid="{00000000-0010-0000-0000-000003000000}" name="UNIDAD" dataDxfId="229"/>
  </tableColumns>
  <tableStyleInfo name="TableStyleLight1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09000000}" name="Tabla51" displayName="Tabla51" ref="B42:H46" totalsRowCount="1" headerRowDxfId="121" dataDxfId="119" totalsRowDxfId="120">
  <autoFilter ref="B42:H45" xr:uid="{00000000-0009-0000-0100-000033000000}"/>
  <tableColumns count="7">
    <tableColumn id="1" xr3:uid="{00000000-0010-0000-0900-000001000000}" name="No." totalsRowLabel="Total" dataDxfId="135" totalsRowDxfId="134"/>
    <tableColumn id="2" xr3:uid="{00000000-0010-0000-0900-000002000000}" name="DESCRIPCION" dataDxfId="133" totalsRowDxfId="132"/>
    <tableColumn id="3" xr3:uid="{00000000-0010-0000-0900-000003000000}" name="CANT." dataDxfId="131" totalsRowDxfId="130">
      <calculatedColumnFormula>+Tabla50[[#Totals],[CANT.]]</calculatedColumnFormula>
    </tableColumn>
    <tableColumn id="4" xr3:uid="{00000000-0010-0000-0900-000004000000}" name="UNIDAD" dataDxfId="129" totalsRowDxfId="128"/>
    <tableColumn id="5" xr3:uid="{00000000-0010-0000-0900-000005000000}" name="VALOR" dataDxfId="127" totalsRowDxfId="126" dataCellStyle="Moneda"/>
    <tableColumn id="6" xr3:uid="{00000000-0010-0000-0900-000006000000}" name="MESES" dataDxfId="125" totalsRowDxfId="124"/>
    <tableColumn id="7" xr3:uid="{00000000-0010-0000-0900-000007000000}" name="SUBTOTAL" totalsRowFunction="sum" dataDxfId="123" totalsRowDxfId="122" dataCellStyle="Moneda"/>
  </tableColumns>
  <tableStyleInfo name="TableStyleLight13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000000-000C-0000-FFFF-FFFF0A000000}" name="Tabla52" displayName="Tabla52" ref="B49:H54" totalsRowShown="0" headerRowDxfId="111" dataDxfId="110" headerRowCellStyle="Moneda">
  <autoFilter ref="B49:H54" xr:uid="{00000000-0009-0000-0100-000034000000}"/>
  <tableColumns count="7">
    <tableColumn id="1" xr3:uid="{00000000-0010-0000-0A00-000001000000}" name="No." dataDxfId="118"/>
    <tableColumn id="2" xr3:uid="{00000000-0010-0000-0A00-000002000000}" name="DESCRIPCION" dataDxfId="117"/>
    <tableColumn id="3" xr3:uid="{00000000-0010-0000-0A00-000003000000}" name="CANT." dataDxfId="116"/>
    <tableColumn id="4" xr3:uid="{00000000-0010-0000-0A00-000004000000}" name="UNIDAD" dataDxfId="115"/>
    <tableColumn id="5" xr3:uid="{00000000-0010-0000-0A00-000005000000}" name="VALOR/DIA" dataDxfId="114" dataCellStyle="Moneda"/>
    <tableColumn id="6" xr3:uid="{00000000-0010-0000-0A00-000006000000}" name="DÍAS" dataDxfId="113"/>
    <tableColumn id="7" xr3:uid="{00000000-0010-0000-0A00-000007000000}" name="SUBTOTAL" dataDxfId="112" dataCellStyle="Moneda"/>
  </tableColumns>
  <tableStyleInfo name="TableStyleLight13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0B000000}" name="Tabla42" displayName="Tabla42" ref="B8:F11" totalsRowCount="1" headerRowDxfId="99" dataDxfId="97" totalsRowDxfId="98">
  <autoFilter ref="B8:F10" xr:uid="{00000000-0009-0000-0100-00002A000000}"/>
  <tableColumns count="5">
    <tableColumn id="2" xr3:uid="{00000000-0010-0000-0B00-000002000000}" name="Concepto " dataDxfId="109" totalsRowDxfId="108"/>
    <tableColumn id="3" xr3:uid="{00000000-0010-0000-0B00-000003000000}" name="Cantidad" dataDxfId="107" totalsRowDxfId="106"/>
    <tableColumn id="4" xr3:uid="{00000000-0010-0000-0B00-000004000000}" name="Tiempo" dataDxfId="105" totalsRowDxfId="104">
      <calculatedColumnFormula>ESCENARIO!C6</calculatedColumnFormula>
    </tableColumn>
    <tableColumn id="5" xr3:uid="{00000000-0010-0000-0B00-000005000000}" name="Costo Unitario ($USD)" totalsRowLabel="SubTotal" dataDxfId="103" totalsRowDxfId="102" dataCellStyle="Moneda 2">
      <calculatedColumnFormula>((('C-2 ALQUILER - MISCELANEOS'!H56+'C3 - DIRECCION'!F43+#REF!)*ESCENARIO!C23*0.04) + (('C-2 ALQUILER - MISCELANEOS'!H56+'C3 - DIRECCION'!F43+#REF!)*0.05*0.04))/Tabla42[Tiempo]</calculatedColumnFormula>
    </tableColumn>
    <tableColumn id="6" xr3:uid="{00000000-0010-0000-0B00-000006000000}" name="Costo Total ($USD)" totalsRowFunction="sum" dataDxfId="101" totalsRowDxfId="100">
      <calculatedColumnFormula>Tabla42[Costo Unitario ($USD)]*Tabla42[Tiempo]</calculatedColumnFormula>
    </tableColumn>
  </tableColumns>
  <tableStyleInfo name="TableStyleLight13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0C000000}" name="Tabla43" displayName="Tabla43" ref="B14:F16" totalsRowCount="1" headerRowDxfId="86" dataDxfId="84" totalsRowDxfId="85">
  <autoFilter ref="B14:F15" xr:uid="{00000000-0009-0000-0100-00002B000000}"/>
  <tableColumns count="5">
    <tableColumn id="1" xr3:uid="{00000000-0010-0000-0C00-000001000000}" name="Concepto " dataDxfId="96" totalsRowDxfId="95"/>
    <tableColumn id="2" xr3:uid="{00000000-0010-0000-0C00-000002000000}" name="Cantidad" dataDxfId="94" totalsRowDxfId="93"/>
    <tableColumn id="3" xr3:uid="{00000000-0010-0000-0C00-000003000000}" name="Tiempo" dataDxfId="92" totalsRowDxfId="91">
      <calculatedColumnFormula>ESCENARIO!C6</calculatedColumnFormula>
    </tableColumn>
    <tableColumn id="4" xr3:uid="{00000000-0010-0000-0C00-000004000000}" name="Costo Unitario ($USD)" dataDxfId="90" totalsRowDxfId="89" dataCellStyle="Moneda"/>
    <tableColumn id="5" xr3:uid="{00000000-0010-0000-0C00-000005000000}" name="Costo Total ($USD)" totalsRowFunction="sum" dataDxfId="88" totalsRowDxfId="87" dataCellStyle="Moneda" totalsRowCellStyle="Moneda">
      <calculatedColumnFormula>Tabla43[Cantidad]*Tabla43[Tiempo]*Tabla43[Costo Unitario ($USD)]</calculatedColumnFormula>
    </tableColumn>
  </tableColumns>
  <tableStyleInfo name="TableStyleLight13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0D000000}" name="Tabla44" displayName="Tabla44" ref="B19:F21" totalsRowCount="1" headerRowDxfId="73" dataDxfId="71" totalsRowDxfId="72">
  <autoFilter ref="B19:F20" xr:uid="{00000000-0009-0000-0100-00002C000000}"/>
  <tableColumns count="5">
    <tableColumn id="1" xr3:uid="{00000000-0010-0000-0D00-000001000000}" name="Concepto " totalsRowLabel="Total" dataDxfId="83" totalsRowDxfId="82"/>
    <tableColumn id="2" xr3:uid="{00000000-0010-0000-0D00-000002000000}" name="Cantidad" dataDxfId="81" totalsRowDxfId="80"/>
    <tableColumn id="3" xr3:uid="{00000000-0010-0000-0D00-000003000000}" name="Tiempo" dataDxfId="79" totalsRowDxfId="78"/>
    <tableColumn id="4" xr3:uid="{00000000-0010-0000-0D00-000004000000}" name="Costo Unitario ($USD)" dataDxfId="77" totalsRowDxfId="76" dataCellStyle="Moneda 2"/>
    <tableColumn id="5" xr3:uid="{00000000-0010-0000-0D00-000005000000}" name="Costo Total ($USD)" totalsRowFunction="sum" dataDxfId="75" totalsRowDxfId="74" dataCellStyle="Moneda 2">
      <calculatedColumnFormula>+C20*D20*E20</calculatedColumnFormula>
    </tableColumn>
  </tableColumns>
  <tableStyleInfo name="TableStyleLight13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0E000000}" name="Tabla45" displayName="Tabla45" ref="B24:F26" totalsRowCount="1" headerRowDxfId="60" dataDxfId="58" totalsRowDxfId="59">
  <autoFilter ref="B24:F25" xr:uid="{00000000-0009-0000-0100-00002D000000}"/>
  <tableColumns count="5">
    <tableColumn id="2" xr3:uid="{00000000-0010-0000-0E00-000002000000}" name="Concepto " totalsRowLabel="Total" dataDxfId="70" totalsRowDxfId="69"/>
    <tableColumn id="3" xr3:uid="{00000000-0010-0000-0E00-000003000000}" name="Cantidad" dataDxfId="68" totalsRowDxfId="67"/>
    <tableColumn id="4" xr3:uid="{00000000-0010-0000-0E00-000004000000}" name="Tiempo" dataDxfId="66" totalsRowDxfId="65">
      <calculatedColumnFormula>ESCENARIO!C6</calculatedColumnFormula>
    </tableColumn>
    <tableColumn id="5" xr3:uid="{00000000-0010-0000-0E00-000005000000}" name="Costo Unitario ($USD)" dataDxfId="64" totalsRowDxfId="63"/>
    <tableColumn id="6" xr3:uid="{00000000-0010-0000-0E00-000006000000}" name="Costo Total ($USD)" totalsRowFunction="sum" dataDxfId="62" totalsRowDxfId="61">
      <calculatedColumnFormula>SUM(F24)</calculatedColumnFormula>
    </tableColumn>
  </tableColumns>
  <tableStyleInfo name="TableStyleLight13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0F000000}" name="Tabla46" displayName="Tabla46" ref="B30:F32" totalsRowCount="1" headerRowDxfId="47" dataDxfId="45" totalsRowDxfId="46">
  <autoFilter ref="B30:F31" xr:uid="{00000000-0009-0000-0100-00002E000000}"/>
  <tableColumns count="5">
    <tableColumn id="1" xr3:uid="{00000000-0010-0000-0F00-000001000000}" name="Concepto " totalsRowLabel="Total" dataDxfId="57" totalsRowDxfId="56"/>
    <tableColumn id="2" xr3:uid="{00000000-0010-0000-0F00-000002000000}" name="Cantidad" dataDxfId="55" totalsRowDxfId="54"/>
    <tableColumn id="3" xr3:uid="{00000000-0010-0000-0F00-000003000000}" name="Tiempo" dataDxfId="53" totalsRowDxfId="52">
      <calculatedColumnFormula>ESCENARIO!C6</calculatedColumnFormula>
    </tableColumn>
    <tableColumn id="4" xr3:uid="{00000000-0010-0000-0F00-000004000000}" name="Costo Unitario ($USD)" dataDxfId="51" totalsRowDxfId="50" dataCellStyle="Moneda 2"/>
    <tableColumn id="5" xr3:uid="{00000000-0010-0000-0F00-000005000000}" name="Costo Total ($USD)" totalsRowFunction="sum" dataDxfId="49" totalsRowDxfId="48" dataCellStyle="Moneda 2">
      <calculatedColumnFormula>+C31*D31*E31</calculatedColumnFormula>
    </tableColumn>
  </tableColumns>
  <tableStyleInfo name="TableStyleLight13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10000000}" name="Tabla48" displayName="Tabla48" ref="B35:F37" totalsRowCount="1" headerRowDxfId="34" dataDxfId="32" totalsRowDxfId="33" tableBorderDxfId="232">
  <autoFilter ref="B35:F36" xr:uid="{00000000-0009-0000-0100-000030000000}"/>
  <tableColumns count="5">
    <tableColumn id="1" xr3:uid="{00000000-0010-0000-1000-000001000000}" name="Concepto " totalsRowLabel="Total" dataDxfId="44" totalsRowDxfId="43"/>
    <tableColumn id="2" xr3:uid="{00000000-0010-0000-1000-000002000000}" name="Cantidad" dataDxfId="42" totalsRowDxfId="41"/>
    <tableColumn id="3" xr3:uid="{00000000-0010-0000-1000-000003000000}" name="Tiempo" dataDxfId="40" totalsRowDxfId="39"/>
    <tableColumn id="4" xr3:uid="{00000000-0010-0000-1000-000004000000}" name="Costo Unitario ($USD)" dataDxfId="38" totalsRowDxfId="37" dataCellStyle="Moneda 2"/>
    <tableColumn id="5" xr3:uid="{00000000-0010-0000-1000-000005000000}" name="Costo Total ($USD)" totalsRowFunction="count" dataDxfId="36" totalsRowDxfId="35" dataCellStyle="Moneda 2"/>
  </tableColumns>
  <tableStyleInfo name="TableStyleLight13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1000000}" name="Tabla1619232425" displayName="Tabla1619232425" ref="B6:D9" totalsRowShown="0" headerRowDxfId="28" dataDxfId="27">
  <autoFilter ref="B6:D9" xr:uid="{00000000-0009-0000-0100-000018000000}"/>
  <tableColumns count="3">
    <tableColumn id="1" xr3:uid="{00000000-0010-0000-1100-000001000000}" name="DESCRIPCIÓN" dataDxfId="31">
      <calculatedColumnFormula>+ESCENARIO!B37</calculatedColumnFormula>
    </tableColumn>
    <tableColumn id="2" xr3:uid="{00000000-0010-0000-1100-000002000000}" name="CANTIDAD" dataDxfId="30">
      <calculatedColumnFormula>+ESCENARIO!C37</calculatedColumnFormula>
    </tableColumn>
    <tableColumn id="3" xr3:uid="{00000000-0010-0000-1100-000003000000}" name="UNIDAD DE MEDIDA" dataDxfId="29">
      <calculatedColumnFormula>+ESCENARIO!D37</calculatedColumnFormula>
    </tableColumn>
  </tableColumns>
  <tableStyleInfo name="TableStyleLight13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0000000-000C-0000-FFFF-FFFF12000000}" name="Tabla53" displayName="Tabla53" ref="B13:H16" totalsRowShown="0" headerRowDxfId="19" dataDxfId="18" headerRowCellStyle="Moneda">
  <autoFilter ref="B13:H16" xr:uid="{00000000-0009-0000-0100-000035000000}"/>
  <tableColumns count="7">
    <tableColumn id="1" xr3:uid="{00000000-0010-0000-1200-000001000000}" name="No." dataDxfId="26"/>
    <tableColumn id="2" xr3:uid="{00000000-0010-0000-1200-000002000000}" name="PERSONAL" dataDxfId="25"/>
    <tableColumn id="3" xr3:uid="{00000000-0010-0000-1200-000003000000}" name="CANT." dataDxfId="24"/>
    <tableColumn id="4" xr3:uid="{00000000-0010-0000-1200-000004000000}" name="UNIDAD" dataDxfId="23"/>
    <tableColumn id="5" xr3:uid="{00000000-0010-0000-1200-000005000000}" name="VALOR/MES" dataDxfId="22" dataCellStyle="Moneda"/>
    <tableColumn id="6" xr3:uid="{00000000-0010-0000-1200-000006000000}" name="MESES" dataDxfId="21"/>
    <tableColumn id="7" xr3:uid="{00000000-0010-0000-1200-000007000000}" name="SUBTOTAL" dataDxfId="20" dataCellStyle="Moneda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1000000}" name="Tabla161923" displayName="Tabla161923" ref="B36:D40" totalsRowShown="0" headerRowDxfId="223" dataDxfId="222" tableBorderDxfId="237">
  <autoFilter ref="B36:D40" xr:uid="{00000000-0009-0000-0100-000016000000}"/>
  <tableColumns count="3">
    <tableColumn id="1" xr3:uid="{00000000-0010-0000-0100-000001000000}" name="DESCRIPCIÓN" dataDxfId="226">
      <calculatedColumnFormula>+ESCENARIO!B110</calculatedColumnFormula>
    </tableColumn>
    <tableColumn id="2" xr3:uid="{00000000-0010-0000-0100-000002000000}" name="CANTIDAD" dataDxfId="225">
      <calculatedColumnFormula>+C6</calculatedColumnFormula>
    </tableColumn>
    <tableColumn id="3" xr3:uid="{00000000-0010-0000-0100-000003000000}" name="UNIDAD DE MEDIDA" dataDxfId="224">
      <calculatedColumnFormula>+ESCENARIO!D110</calculatedColumnFormula>
    </tableColumn>
  </tableColumns>
  <tableStyleInfo name="TableStyleLight13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0000000-000C-0000-FFFF-FFFF13000000}" name="Tabla56" displayName="Tabla56" ref="B19:H23" totalsRowShown="0" headerRowDxfId="10" dataDxfId="9">
  <autoFilter ref="B19:H23" xr:uid="{00000000-0009-0000-0100-000038000000}"/>
  <tableColumns count="7">
    <tableColumn id="1" xr3:uid="{00000000-0010-0000-1300-000001000000}" name="No." dataDxfId="17"/>
    <tableColumn id="2" xr3:uid="{00000000-0010-0000-1300-000002000000}" name="DESCRIPCIÓN" dataDxfId="16"/>
    <tableColumn id="3" xr3:uid="{00000000-0010-0000-1300-000003000000}" name="CANT." dataDxfId="15"/>
    <tableColumn id="4" xr3:uid="{00000000-0010-0000-1300-000004000000}" name="UNIDAD" dataDxfId="14"/>
    <tableColumn id="5" xr3:uid="{00000000-0010-0000-1300-000005000000}" name="VALOR" dataDxfId="13" dataCellStyle="Moneda"/>
    <tableColumn id="6" xr3:uid="{00000000-0010-0000-1300-000006000000}" name="MESES" dataDxfId="12"/>
    <tableColumn id="7" xr3:uid="{00000000-0010-0000-1300-000007000000}" name="SUBTOTAL" dataDxfId="11" dataCellStyle="Moneda"/>
  </tableColumns>
  <tableStyleInfo name="TableStyleLight13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0000000-000C-0000-FFFF-FFFF14000000}" name="Tabla57" displayName="Tabla57" ref="B26:H31" totalsRowShown="0" headerRowDxfId="1" dataDxfId="0" headerRowCellStyle="Moneda">
  <autoFilter ref="B26:H31" xr:uid="{00000000-0009-0000-0100-000039000000}"/>
  <tableColumns count="7">
    <tableColumn id="1" xr3:uid="{00000000-0010-0000-1400-000001000000}" name="No." dataDxfId="8"/>
    <tableColumn id="2" xr3:uid="{00000000-0010-0000-1400-000002000000}" name="DESCRIPCIÓN" dataDxfId="7"/>
    <tableColumn id="3" xr3:uid="{00000000-0010-0000-1400-000003000000}" name="CANT." dataDxfId="6"/>
    <tableColumn id="4" xr3:uid="{00000000-0010-0000-1400-000004000000}" name="UNIDAD" dataDxfId="5"/>
    <tableColumn id="5" xr3:uid="{00000000-0010-0000-1400-000005000000}" name="VALOR/DIA" dataDxfId="4" dataCellStyle="Moneda"/>
    <tableColumn id="6" xr3:uid="{00000000-0010-0000-1400-000006000000}" name="DÍAS" dataDxfId="3"/>
    <tableColumn id="7" xr3:uid="{00000000-0010-0000-1400-000007000000}" name="SUBTOTAL" dataDxfId="2" dataCellStyle="Moneda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02000000}" name="Tabla16192327" displayName="Tabla16192327" ref="B28:D31" totalsRowShown="0" headerRowDxfId="218" dataDxfId="217" tableBorderDxfId="236">
  <autoFilter ref="B28:D31" xr:uid="{00000000-0009-0000-0100-00001A000000}"/>
  <tableColumns count="3">
    <tableColumn id="1" xr3:uid="{00000000-0010-0000-0200-000001000000}" name="DESCRIPCIÓN" dataDxfId="221">
      <calculatedColumnFormula>+ESCENARIO!B104</calculatedColumnFormula>
    </tableColumn>
    <tableColumn id="2" xr3:uid="{00000000-0010-0000-0200-000002000000}" name="CANTIDAD" dataDxfId="220">
      <calculatedColumnFormula>+#REF!</calculatedColumnFormula>
    </tableColumn>
    <tableColumn id="3" xr3:uid="{00000000-0010-0000-0200-000003000000}" name="UNIDAD DE MEDIDA" dataDxfId="219">
      <calculatedColumnFormula>+ESCENARIO!D104</calculatedColumnFormula>
    </tableColumn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a6" displayName="Tabla6" ref="A3:L10" totalsRowShown="0" headerRowDxfId="204" dataDxfId="203">
  <autoFilter ref="A3:L10" xr:uid="{00000000-0009-0000-0100-000006000000}"/>
  <tableColumns count="12">
    <tableColumn id="1" xr3:uid="{00000000-0010-0000-0300-000001000000}" name="DESCRIPCIÓN" dataDxfId="216">
      <calculatedColumnFormula>+ESCENARIO!B9</calculatedColumnFormula>
    </tableColumn>
    <tableColumn id="10" xr3:uid="{00000000-0010-0000-0300-00000A000000}" name="MESES " dataDxfId="215">
      <calculatedColumnFormula>+'C1 - PERSONAL TECNICO'!G13</calculatedColumnFormula>
    </tableColumn>
    <tableColumn id="3" xr3:uid="{00000000-0010-0000-0300-000003000000}" name="SUELDO MENSUAL" dataDxfId="214"/>
    <tableColumn id="19" xr3:uid="{00000000-0010-0000-0300-000013000000}" name="SUELDO TOTAL" dataDxfId="213">
      <calculatedColumnFormula>+Tabla6[[#This Row],[SUELDO MENSUAL]]*Tabla6[[#This Row],[MESES ]]</calculatedColumnFormula>
    </tableColumn>
    <tableColumn id="12" xr3:uid="{00000000-0010-0000-0300-00000C000000}" name="VACACIONES" dataDxfId="212">
      <calculatedColumnFormula>+ROUND(Tabla6[[#This Row],[SUELDO TOTAL]]/($N$2*2),2)</calculatedColumnFormula>
    </tableColumn>
    <tableColumn id="13" xr3:uid="{00000000-0010-0000-0300-00000D000000}" name="DECIMO TERCERO" dataDxfId="211">
      <calculatedColumnFormula>+(Tabla6[[#This Row],[SUELDO MENSUAL]]/$N$2)*Tabla6[[#This Row],[MESES ]]</calculatedColumnFormula>
    </tableColumn>
    <tableColumn id="14" xr3:uid="{00000000-0010-0000-0300-00000E000000}" name="DECIMO CUARTO" dataDxfId="210">
      <calculatedColumnFormula>+(ESCENARIO!$C$7/12)*Tabla6[[#This Row],[MESES ]]</calculatedColumnFormula>
    </tableColumn>
    <tableColumn id="15" xr3:uid="{00000000-0010-0000-0300-00000F000000}" name="I.E.S.S PATRONAL" dataDxfId="209">
      <calculatedColumnFormula>ROUND(Tabla6[[#This Row],[SUELDO TOTAL]]*12.15%,2)</calculatedColumnFormula>
    </tableColumn>
    <tableColumn id="16" xr3:uid="{00000000-0010-0000-0300-000010000000}" name="FONDO RESERVA" dataDxfId="208">
      <calculatedColumnFormula>0.083333*Tabla6[[#This Row],[SUELDO MENSUAL]]</calculatedColumnFormula>
    </tableColumn>
    <tableColumn id="2" xr3:uid="{00000000-0010-0000-0300-000002000000}" name="TOTAL CARGAS" dataDxfId="207">
      <calculatedColumnFormula>SUM(Tabla6[[#This Row],[VACACIONES]:[FONDO RESERVA]])</calculatedColumnFormula>
    </tableColumn>
    <tableColumn id="17" xr3:uid="{00000000-0010-0000-0300-000011000000}" name="TOTAL" dataDxfId="206">
      <calculatedColumnFormula>SUM(Tabla6[[#This Row],[SUELDO TOTAL]:[FONDO RESERVA]])</calculatedColumnFormula>
    </tableColumn>
    <tableColumn id="18" xr3:uid="{00000000-0010-0000-0300-000012000000}" name="MENSUAL" dataDxfId="205">
      <calculatedColumnFormula>+IFERROR(ROUND(Tabla6[[#This Row],[TOTAL]]/Tabla6[[#This Row],[MESES ]],2),0)</calculatedColumnFormula>
    </tableColumn>
  </tableColumns>
  <tableStyleInfo name="TableStyleLight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a12" displayName="Tabla12" ref="A15:L17" totalsRowShown="0" headerRowDxfId="190" dataDxfId="189" headerRowBorderDxfId="235" tableBorderDxfId="234" totalsRowBorderDxfId="233">
  <autoFilter ref="A15:L17" xr:uid="{00000000-0009-0000-0100-00000C000000}"/>
  <tableColumns count="12">
    <tableColumn id="1" xr3:uid="{00000000-0010-0000-0400-000001000000}" name="DESCRIPCIÓN" dataDxfId="202"/>
    <tableColumn id="2" xr3:uid="{00000000-0010-0000-0400-000002000000}" name="MESES " dataDxfId="201"/>
    <tableColumn id="3" xr3:uid="{00000000-0010-0000-0400-000003000000}" name="SUELDO MENSUAL" dataDxfId="200"/>
    <tableColumn id="4" xr3:uid="{00000000-0010-0000-0400-000004000000}" name="SUELDO TOTAL" dataDxfId="199">
      <calculatedColumnFormula>+B16*C16</calculatedColumnFormula>
    </tableColumn>
    <tableColumn id="5" xr3:uid="{00000000-0010-0000-0400-000005000000}" name="VACACIONES" dataDxfId="198">
      <calculatedColumnFormula>+ROUND(Tabla12[[#This Row],[SUELDO TOTAL]]/24,2)</calculatedColumnFormula>
    </tableColumn>
    <tableColumn id="6" xr3:uid="{00000000-0010-0000-0400-000006000000}" name="DECIMO TERCERO" dataDxfId="197">
      <calculatedColumnFormula>+(C16/12)*B16</calculatedColumnFormula>
    </tableColumn>
    <tableColumn id="7" xr3:uid="{00000000-0010-0000-0400-000007000000}" name="DECIMO CUARTO" dataDxfId="196">
      <calculatedColumnFormula>+(ESCENARIO!$C$7/12)*B16</calculatedColumnFormula>
    </tableColumn>
    <tableColumn id="8" xr3:uid="{00000000-0010-0000-0400-000008000000}" name="I.E.S.S PATRONAL" dataDxfId="195">
      <calculatedColumnFormula>ROUND(D16*11.15%,2)</calculatedColumnFormula>
    </tableColumn>
    <tableColumn id="9" xr3:uid="{00000000-0010-0000-0400-000009000000}" name="FONDO RESERVA" dataDxfId="194">
      <calculatedColumnFormula>0.083333*Tabla6[[#This Row],[SUELDO MENSUAL]]</calculatedColumnFormula>
    </tableColumn>
    <tableColumn id="10" xr3:uid="{00000000-0010-0000-0400-00000A000000}" name="TOTAL CARGAS" dataDxfId="193">
      <calculatedColumnFormula>SUM(Tabla12[[#This Row],[VACACIONES]:[FONDO RESERVA]])</calculatedColumnFormula>
    </tableColumn>
    <tableColumn id="11" xr3:uid="{00000000-0010-0000-0400-00000B000000}" name="TOTAL" dataDxfId="192">
      <calculatedColumnFormula>ROUND(SUM(D16:I17),2)</calculatedColumnFormula>
    </tableColumn>
    <tableColumn id="12" xr3:uid="{00000000-0010-0000-0400-00000C000000}" name="MENSUAL" dataDxfId="191">
      <calculatedColumnFormula>+Tabla12[[#This Row],[TOTAL CARGAS]]/Tabla12[[#This Row],[MESES ]]</calculatedColumnFormula>
    </tableColumn>
  </tableColumns>
  <tableStyleInfo name="TableStyleLight1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5000000}" name="Tabla21" displayName="Tabla21" ref="A20:L23" totalsRowShown="0" headerRowDxfId="176" dataDxfId="175">
  <autoFilter ref="A20:L23" xr:uid="{00000000-0009-0000-0100-000015000000}"/>
  <tableColumns count="12">
    <tableColumn id="1" xr3:uid="{00000000-0010-0000-0500-000001000000}" name="DESCRIPCIÓN" dataDxfId="188"/>
    <tableColumn id="2" xr3:uid="{00000000-0010-0000-0500-000002000000}" name="MESES " dataDxfId="187"/>
    <tableColumn id="3" xr3:uid="{00000000-0010-0000-0500-000003000000}" name="SUELDO MENSUAL" dataDxfId="186"/>
    <tableColumn id="4" xr3:uid="{00000000-0010-0000-0500-000004000000}" name="SUELDO TOTAL" dataDxfId="185">
      <calculatedColumnFormula>+Tabla6[[#This Row],[SUELDO MENSUAL]]*Tabla6[[#This Row],[MESES ]]</calculatedColumnFormula>
    </tableColumn>
    <tableColumn id="5" xr3:uid="{00000000-0010-0000-0500-000005000000}" name="VACACIONES" dataDxfId="184">
      <calculatedColumnFormula>+ROUND(Tabla6[[#This Row],[SUELDO TOTAL]]/24,2)</calculatedColumnFormula>
    </tableColumn>
    <tableColumn id="6" xr3:uid="{00000000-0010-0000-0500-000006000000}" name="DECIMO TERCERO" dataDxfId="183">
      <calculatedColumnFormula>+(Tabla6[[#This Row],[SUELDO MENSUAL]]/12)*Tabla6[[#This Row],[MESES ]]</calculatedColumnFormula>
    </tableColumn>
    <tableColumn id="7" xr3:uid="{00000000-0010-0000-0500-000007000000}" name="DECIMO CUARTO" dataDxfId="182">
      <calculatedColumnFormula>+(ESCENARIO!$C$7/12)*Tabla6[[#This Row],[MESES ]]</calculatedColumnFormula>
    </tableColumn>
    <tableColumn id="8" xr3:uid="{00000000-0010-0000-0500-000008000000}" name="I.E.S.S PATRONAL" dataDxfId="181">
      <calculatedColumnFormula>ROUND(Tabla6[[#This Row],[SUELDO TOTAL]]*12.15%,2)</calculatedColumnFormula>
    </tableColumn>
    <tableColumn id="9" xr3:uid="{00000000-0010-0000-0500-000009000000}" name="FONDO RESERVA" dataDxfId="180">
      <calculatedColumnFormula>0.083333*Tabla21[[#This Row],[SUELDO MENSUAL]]</calculatedColumnFormula>
    </tableColumn>
    <tableColumn id="12" xr3:uid="{00000000-0010-0000-0500-00000C000000}" name="TOTAL CARGAS" dataDxfId="179">
      <calculatedColumnFormula>SUM(Tabla21[[#This Row],[VACACIONES]:[FONDO RESERVA]])</calculatedColumnFormula>
    </tableColumn>
    <tableColumn id="10" xr3:uid="{00000000-0010-0000-0500-00000A000000}" name="TOTAL" dataDxfId="178">
      <calculatedColumnFormula>SUM(Tabla6[[#This Row],[SUELDO TOTAL]:[FONDO RESERVA]])</calculatedColumnFormula>
    </tableColumn>
    <tableColumn id="11" xr3:uid="{00000000-0010-0000-0500-00000B000000}" name="MENSUAL" dataDxfId="177">
      <calculatedColumnFormula>+ROUND(Tabla6[[#This Row],[TOTAL]]/Tabla6[[#This Row],[MESES ]],2)</calculatedColumnFormula>
    </tableColumn>
  </tableColumns>
  <tableStyleInfo name="TableStyleLight2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06000000}" name="Tabla16192324" displayName="Tabla16192324" ref="C5:E10" totalsRowShown="0" headerRowDxfId="171" dataDxfId="170">
  <autoFilter ref="C5:E10" xr:uid="{00000000-0009-0000-0100-000017000000}"/>
  <tableColumns count="3">
    <tableColumn id="1" xr3:uid="{00000000-0010-0000-0600-000001000000}" name="DESCRIPCIÓN" dataDxfId="174">
      <calculatedColumnFormula>+ESCENARIO!B29</calculatedColumnFormula>
    </tableColumn>
    <tableColumn id="2" xr3:uid="{00000000-0010-0000-0600-000002000000}" name="CANTIDAD" dataDxfId="173">
      <calculatedColumnFormula>+ESCENARIO!C29</calculatedColumnFormula>
    </tableColumn>
    <tableColumn id="3" xr3:uid="{00000000-0010-0000-0600-000003000000}" name="UNIDAD DE MEDIDA" dataDxfId="172">
      <calculatedColumnFormula>+ESCENARIO!D29</calculatedColumnFormula>
    </tableColumn>
  </tableColumns>
  <tableStyleInfo name="TableStyleLight1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07000000}" name="Tabla49" displayName="Tabla49" ref="B12:H24" totalsRowCount="1" headerRowDxfId="155" dataDxfId="153" totalsRowDxfId="154" headerRowCellStyle="Moneda">
  <autoFilter ref="B12:H23" xr:uid="{00000000-0009-0000-0100-000031000000}"/>
  <tableColumns count="7">
    <tableColumn id="1" xr3:uid="{00000000-0010-0000-0700-000001000000}" name="No." totalsRowLabel="Total" dataDxfId="169" totalsRowDxfId="168"/>
    <tableColumn id="2" xr3:uid="{00000000-0010-0000-0700-000002000000}" name="PERSONAL" dataDxfId="167" totalsRowDxfId="166">
      <calculatedColumnFormula>+NÓMINA!A4</calculatedColumnFormula>
    </tableColumn>
    <tableColumn id="3" xr3:uid="{00000000-0010-0000-0700-000003000000}" name="CANT." totalsRowFunction="sum" dataDxfId="165" totalsRowDxfId="164"/>
    <tableColumn id="4" xr3:uid="{00000000-0010-0000-0700-000004000000}" name="UNIDAD" dataDxfId="163" totalsRowDxfId="162"/>
    <tableColumn id="5" xr3:uid="{00000000-0010-0000-0700-000005000000}" name="VALOR/MES" dataDxfId="161" totalsRowDxfId="160" dataCellStyle="Moneda"/>
    <tableColumn id="6" xr3:uid="{00000000-0010-0000-0700-000006000000}" name="MESES" dataDxfId="159" totalsRowDxfId="158"/>
    <tableColumn id="7" xr3:uid="{00000000-0010-0000-0700-000007000000}" name="SUBTOTAL" totalsRowFunction="sum" dataDxfId="157" totalsRowDxfId="156" dataCellStyle="Moneda"/>
  </tableColumns>
  <tableStyleInfo name="TableStyleLight1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08000000}" name="Tabla50" displayName="Tabla50" ref="B26:H38" totalsRowCount="1" headerRowDxfId="138" dataDxfId="136" totalsRowDxfId="137">
  <autoFilter ref="B26:H37" xr:uid="{00000000-0009-0000-0100-000032000000}"/>
  <tableColumns count="7">
    <tableColumn id="1" xr3:uid="{00000000-0010-0000-0800-000001000000}" name="No." totalsRowLabel="Total" dataDxfId="152" totalsRowDxfId="151"/>
    <tableColumn id="2" xr3:uid="{00000000-0010-0000-0800-000002000000}" name="PERSONAL" dataDxfId="150" totalsRowDxfId="149"/>
    <tableColumn id="3" xr3:uid="{00000000-0010-0000-0800-000003000000}" name="CANT." totalsRowFunction="sum" dataDxfId="148" totalsRowDxfId="147">
      <calculatedColumnFormula>+D13</calculatedColumnFormula>
    </tableColumn>
    <tableColumn id="4" xr3:uid="{00000000-0010-0000-0800-000004000000}" name="UNIDAD" dataDxfId="146" totalsRowDxfId="145"/>
    <tableColumn id="5" xr3:uid="{00000000-0010-0000-0800-000005000000}" name="VALOR/CARGAS SOCIALES MES" dataDxfId="144" totalsRowDxfId="143" dataCellStyle="Moneda">
      <calculatedColumnFormula>+NÓMINA!J4</calculatedColumnFormula>
    </tableColumn>
    <tableColumn id="6" xr3:uid="{00000000-0010-0000-0800-000006000000}" name="MESES" dataDxfId="142" totalsRowDxfId="141">
      <calculatedColumnFormula>+G13</calculatedColumnFormula>
    </tableColumn>
    <tableColumn id="7" xr3:uid="{00000000-0010-0000-0800-000007000000}" name="SUBTOTAL" totalsRowFunction="sum" dataDxfId="140" totalsRowDxfId="139" dataCellStyle="Moneda">
      <calculatedColumnFormula>+F27*D27*G27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1.xml"/><Relationship Id="rId5" Type="http://schemas.openxmlformats.org/officeDocument/2006/relationships/table" Target="../tables/table10.xml"/><Relationship Id="rId4" Type="http://schemas.openxmlformats.org/officeDocument/2006/relationships/table" Target="../tables/table9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7" Type="http://schemas.openxmlformats.org/officeDocument/2006/relationships/table" Target="../tables/table17.xml"/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16.xml"/><Relationship Id="rId5" Type="http://schemas.openxmlformats.org/officeDocument/2006/relationships/table" Target="../tables/table15.xml"/><Relationship Id="rId4" Type="http://schemas.openxmlformats.org/officeDocument/2006/relationships/table" Target="../tables/table1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table" Target="../tables/table19.xml"/><Relationship Id="rId1" Type="http://schemas.openxmlformats.org/officeDocument/2006/relationships/table" Target="../tables/table18.xml"/><Relationship Id="rId4" Type="http://schemas.openxmlformats.org/officeDocument/2006/relationships/table" Target="../tables/table2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8"/>
  <sheetViews>
    <sheetView topLeftCell="A16" workbookViewId="0">
      <selection activeCell="B5" sqref="B5:C5"/>
    </sheetView>
  </sheetViews>
  <sheetFormatPr baseColWidth="10" defaultRowHeight="14.5" x14ac:dyDescent="0.35"/>
  <cols>
    <col min="3" max="3" width="57.453125" style="9" bestFit="1" customWidth="1"/>
    <col min="4" max="4" width="14.26953125" bestFit="1" customWidth="1"/>
  </cols>
  <sheetData>
    <row r="1" spans="2:4" ht="21" x14ac:dyDescent="0.5">
      <c r="B1" s="14" t="s">
        <v>122</v>
      </c>
    </row>
    <row r="4" spans="2:4" ht="31" x14ac:dyDescent="0.35">
      <c r="B4" s="16" t="s">
        <v>1</v>
      </c>
      <c r="C4" s="16"/>
      <c r="D4" s="1" t="s">
        <v>44</v>
      </c>
    </row>
    <row r="5" spans="2:4" ht="15.5" x14ac:dyDescent="0.35">
      <c r="B5" s="17" t="s">
        <v>45</v>
      </c>
      <c r="C5" s="17"/>
      <c r="D5" s="2">
        <f>+SUM(D6:D14)</f>
        <v>0</v>
      </c>
    </row>
    <row r="6" spans="2:4" ht="15.5" x14ac:dyDescent="0.35">
      <c r="B6" s="3"/>
      <c r="C6" s="3" t="s">
        <v>46</v>
      </c>
      <c r="D6" s="4">
        <f>+Tabla49[[#Totals],[SUBTOTAL]]</f>
        <v>0</v>
      </c>
    </row>
    <row r="7" spans="2:4" ht="15.5" x14ac:dyDescent="0.35">
      <c r="B7" s="3"/>
      <c r="C7" s="3" t="s">
        <v>47</v>
      </c>
      <c r="D7" s="4">
        <f>+Tabla50[[#Totals],[SUBTOTAL]]</f>
        <v>0</v>
      </c>
    </row>
    <row r="8" spans="2:4" ht="15.5" x14ac:dyDescent="0.35">
      <c r="B8" s="3"/>
      <c r="C8" s="3" t="s">
        <v>48</v>
      </c>
      <c r="D8" s="4">
        <f>+'C1 - PERSONAL TECNICO'!H54</f>
        <v>0</v>
      </c>
    </row>
    <row r="9" spans="2:4" ht="15.5" x14ac:dyDescent="0.35">
      <c r="B9" s="3"/>
      <c r="C9" s="3" t="s">
        <v>49</v>
      </c>
      <c r="D9" s="4">
        <f>+Tabla42[[#Totals],[Costo Total ($USD)]]</f>
        <v>0</v>
      </c>
    </row>
    <row r="10" spans="2:4" ht="15.5" x14ac:dyDescent="0.35">
      <c r="B10" s="3"/>
      <c r="C10" s="3" t="s">
        <v>50</v>
      </c>
      <c r="D10" s="4">
        <f>+Tabla43[[#Totals],[Costo Total ($USD)]]</f>
        <v>0</v>
      </c>
    </row>
    <row r="11" spans="2:4" ht="15.5" x14ac:dyDescent="0.35">
      <c r="B11" s="3"/>
      <c r="C11" s="3" t="s">
        <v>51</v>
      </c>
      <c r="D11" s="4">
        <f>+Tabla44[[#Totals],[Costo Total ($USD)]]</f>
        <v>0</v>
      </c>
    </row>
    <row r="12" spans="2:4" ht="15.5" x14ac:dyDescent="0.35">
      <c r="B12" s="3"/>
      <c r="C12" s="3" t="s">
        <v>52</v>
      </c>
      <c r="D12" s="4">
        <f>+Tabla45[[#Totals],[Costo Total ($USD)]]</f>
        <v>0</v>
      </c>
    </row>
    <row r="13" spans="2:4" ht="15.5" x14ac:dyDescent="0.35">
      <c r="B13" s="3"/>
      <c r="C13" s="3" t="s">
        <v>53</v>
      </c>
      <c r="D13" s="4">
        <f>+Tabla46[[#Totals],[Costo Total ($USD)]]</f>
        <v>0</v>
      </c>
    </row>
    <row r="14" spans="2:4" ht="15.5" x14ac:dyDescent="0.35">
      <c r="B14" s="3"/>
      <c r="C14" s="3" t="s">
        <v>54</v>
      </c>
      <c r="D14" s="4">
        <f>+Tabla48[[#Totals],[Costo Total ($USD)]]</f>
        <v>0</v>
      </c>
    </row>
    <row r="15" spans="2:4" ht="15.5" x14ac:dyDescent="0.35">
      <c r="B15" s="17" t="s">
        <v>55</v>
      </c>
      <c r="C15" s="17"/>
      <c r="D15" s="2">
        <f>+SUM(D16:D22)</f>
        <v>0</v>
      </c>
    </row>
    <row r="16" spans="2:4" ht="15.5" x14ac:dyDescent="0.35">
      <c r="B16" s="3"/>
      <c r="C16" s="3" t="s">
        <v>56</v>
      </c>
      <c r="D16" s="4"/>
    </row>
    <row r="17" spans="2:6" ht="15.5" x14ac:dyDescent="0.35">
      <c r="B17" s="3"/>
      <c r="C17" s="3" t="s">
        <v>57</v>
      </c>
      <c r="D17" s="5"/>
    </row>
    <row r="18" spans="2:6" ht="15.5" x14ac:dyDescent="0.35">
      <c r="B18" s="3"/>
      <c r="C18" s="3" t="s">
        <v>58</v>
      </c>
      <c r="D18" s="5"/>
    </row>
    <row r="19" spans="2:6" ht="15.5" x14ac:dyDescent="0.35">
      <c r="B19" s="3"/>
      <c r="C19" s="3" t="s">
        <v>59</v>
      </c>
      <c r="D19" s="5"/>
    </row>
    <row r="20" spans="2:6" ht="15.5" x14ac:dyDescent="0.35">
      <c r="B20" s="3"/>
      <c r="C20" s="3" t="s">
        <v>60</v>
      </c>
      <c r="D20" s="4"/>
    </row>
    <row r="21" spans="2:6" ht="15.5" x14ac:dyDescent="0.35">
      <c r="B21" s="3"/>
      <c r="C21" s="3" t="s">
        <v>61</v>
      </c>
      <c r="D21" s="4"/>
    </row>
    <row r="22" spans="2:6" ht="15.5" x14ac:dyDescent="0.35">
      <c r="B22" s="3"/>
      <c r="C22" s="3" t="s">
        <v>62</v>
      </c>
      <c r="D22" s="4"/>
    </row>
    <row r="23" spans="2:6" ht="15.5" x14ac:dyDescent="0.35">
      <c r="B23" s="17" t="s">
        <v>63</v>
      </c>
      <c r="C23" s="17"/>
      <c r="D23" s="2">
        <f>+SUM(D24:D25)</f>
        <v>0</v>
      </c>
    </row>
    <row r="24" spans="2:6" ht="46.5" x14ac:dyDescent="0.35">
      <c r="B24" s="3"/>
      <c r="C24" s="6" t="s">
        <v>64</v>
      </c>
      <c r="D24" s="5"/>
    </row>
    <row r="25" spans="2:6" ht="46.5" x14ac:dyDescent="0.35">
      <c r="B25" s="3"/>
      <c r="C25" s="7" t="s">
        <v>65</v>
      </c>
      <c r="D25" s="5"/>
    </row>
    <row r="26" spans="2:6" ht="41.25" customHeight="1" x14ac:dyDescent="0.35">
      <c r="B26" s="17" t="s">
        <v>66</v>
      </c>
      <c r="C26" s="17"/>
      <c r="D26" s="2">
        <f>+('C1 - PERSONAL TECNICO'!H58+'C-2 ALQUILER - MISCELANEOS'!F43)*0.15</f>
        <v>0</v>
      </c>
    </row>
    <row r="27" spans="2:6" ht="15.5" x14ac:dyDescent="0.35">
      <c r="B27" s="15" t="s">
        <v>16</v>
      </c>
      <c r="C27" s="15"/>
      <c r="D27" s="8">
        <f>+D5+D15+D23+D26</f>
        <v>0</v>
      </c>
      <c r="F27" s="10"/>
    </row>
    <row r="28" spans="2:6" x14ac:dyDescent="0.35">
      <c r="F28" s="11"/>
    </row>
  </sheetData>
  <mergeCells count="6">
    <mergeCell ref="B27:C27"/>
    <mergeCell ref="B4:C4"/>
    <mergeCell ref="B5:C5"/>
    <mergeCell ref="B15:C15"/>
    <mergeCell ref="B23:C23"/>
    <mergeCell ref="B26:C26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40"/>
  <sheetViews>
    <sheetView topLeftCell="A28" workbookViewId="0">
      <selection activeCell="G5" sqref="A1:XFD1048576"/>
    </sheetView>
  </sheetViews>
  <sheetFormatPr baseColWidth="10" defaultRowHeight="14.5" x14ac:dyDescent="0.35"/>
  <cols>
    <col min="1" max="1" width="10.90625" style="19"/>
    <col min="2" max="2" width="64.7265625" style="36" bestFit="1" customWidth="1"/>
    <col min="3" max="3" width="17.1796875" style="26" bestFit="1" customWidth="1"/>
    <col min="4" max="4" width="24" style="26" bestFit="1" customWidth="1"/>
    <col min="5" max="16384" width="10.90625" style="19"/>
  </cols>
  <sheetData>
    <row r="2" spans="2:4" ht="15.5" x14ac:dyDescent="0.35">
      <c r="B2" s="18" t="s">
        <v>0</v>
      </c>
      <c r="C2" s="18"/>
      <c r="D2" s="18"/>
    </row>
    <row r="3" spans="2:4" ht="40.5" customHeight="1" x14ac:dyDescent="0.35">
      <c r="B3" s="20" t="s">
        <v>8</v>
      </c>
      <c r="C3" s="20"/>
      <c r="D3" s="20"/>
    </row>
    <row r="4" spans="2:4" x14ac:dyDescent="0.35">
      <c r="B4" s="21"/>
      <c r="C4" s="21"/>
      <c r="D4" s="21"/>
    </row>
    <row r="5" spans="2:4" x14ac:dyDescent="0.35">
      <c r="B5" s="22" t="s">
        <v>1</v>
      </c>
      <c r="C5" s="22" t="s">
        <v>103</v>
      </c>
      <c r="D5" s="22" t="s">
        <v>27</v>
      </c>
    </row>
    <row r="6" spans="2:4" x14ac:dyDescent="0.35">
      <c r="B6" s="23" t="s">
        <v>21</v>
      </c>
      <c r="C6" s="23">
        <v>4</v>
      </c>
      <c r="D6" s="23" t="s">
        <v>20</v>
      </c>
    </row>
    <row r="7" spans="2:4" ht="15.75" customHeight="1" x14ac:dyDescent="0.35">
      <c r="B7" s="23" t="s">
        <v>22</v>
      </c>
      <c r="C7" s="24">
        <v>425</v>
      </c>
      <c r="D7" s="23" t="s">
        <v>23</v>
      </c>
    </row>
    <row r="8" spans="2:4" x14ac:dyDescent="0.35">
      <c r="B8" s="23" t="s">
        <v>31</v>
      </c>
      <c r="C8" s="23">
        <v>30</v>
      </c>
      <c r="D8" s="23"/>
    </row>
    <row r="9" spans="2:4" x14ac:dyDescent="0.35">
      <c r="B9" s="25" t="s">
        <v>134</v>
      </c>
      <c r="C9" s="23">
        <v>1</v>
      </c>
      <c r="D9" s="23" t="s">
        <v>107</v>
      </c>
    </row>
    <row r="10" spans="2:4" ht="15.75" customHeight="1" x14ac:dyDescent="0.35">
      <c r="B10" s="25" t="s">
        <v>134</v>
      </c>
      <c r="C10" s="23">
        <v>1</v>
      </c>
      <c r="D10" s="23" t="s">
        <v>107</v>
      </c>
    </row>
    <row r="11" spans="2:4" ht="15.75" customHeight="1" x14ac:dyDescent="0.35">
      <c r="B11" s="25" t="s">
        <v>134</v>
      </c>
      <c r="C11" s="23">
        <v>1</v>
      </c>
      <c r="D11" s="23" t="s">
        <v>107</v>
      </c>
    </row>
    <row r="12" spans="2:4" ht="15.75" customHeight="1" x14ac:dyDescent="0.35">
      <c r="B12" s="25" t="s">
        <v>134</v>
      </c>
      <c r="C12" s="23">
        <v>1</v>
      </c>
      <c r="D12" s="23" t="s">
        <v>107</v>
      </c>
    </row>
    <row r="13" spans="2:4" ht="15.75" customHeight="1" x14ac:dyDescent="0.35">
      <c r="B13" s="25" t="s">
        <v>134</v>
      </c>
      <c r="C13" s="23">
        <v>1</v>
      </c>
      <c r="D13" s="23" t="s">
        <v>107</v>
      </c>
    </row>
    <row r="14" spans="2:4" x14ac:dyDescent="0.35">
      <c r="B14" s="25" t="s">
        <v>134</v>
      </c>
      <c r="C14" s="23">
        <v>1</v>
      </c>
      <c r="D14" s="23" t="s">
        <v>107</v>
      </c>
    </row>
    <row r="15" spans="2:4" x14ac:dyDescent="0.35">
      <c r="B15" s="25" t="s">
        <v>134</v>
      </c>
      <c r="C15" s="23">
        <v>1</v>
      </c>
      <c r="D15" s="23" t="s">
        <v>107</v>
      </c>
    </row>
    <row r="16" spans="2:4" x14ac:dyDescent="0.35">
      <c r="B16" s="25" t="s">
        <v>112</v>
      </c>
      <c r="C16" s="23">
        <v>1</v>
      </c>
      <c r="D16" s="23"/>
    </row>
    <row r="17" spans="2:4" x14ac:dyDescent="0.35">
      <c r="B17" s="25" t="s">
        <v>113</v>
      </c>
      <c r="C17" s="23">
        <v>1</v>
      </c>
      <c r="D17" s="23"/>
    </row>
    <row r="18" spans="2:4" x14ac:dyDescent="0.35">
      <c r="B18" s="25" t="s">
        <v>111</v>
      </c>
      <c r="C18" s="23">
        <v>1</v>
      </c>
      <c r="D18" s="23"/>
    </row>
    <row r="19" spans="2:4" x14ac:dyDescent="0.35">
      <c r="B19" s="25" t="s">
        <v>77</v>
      </c>
      <c r="C19" s="23">
        <v>1</v>
      </c>
      <c r="D19" s="23"/>
    </row>
    <row r="20" spans="2:4" x14ac:dyDescent="0.35">
      <c r="B20" s="26" t="s">
        <v>118</v>
      </c>
      <c r="C20" s="26">
        <v>10</v>
      </c>
      <c r="D20" s="23"/>
    </row>
    <row r="21" spans="2:4" x14ac:dyDescent="0.35">
      <c r="B21" s="26" t="s">
        <v>119</v>
      </c>
      <c r="C21" s="26">
        <v>20</v>
      </c>
      <c r="D21" s="23"/>
    </row>
    <row r="22" spans="2:4" x14ac:dyDescent="0.35">
      <c r="B22" s="26" t="s">
        <v>120</v>
      </c>
      <c r="C22" s="26">
        <v>10</v>
      </c>
      <c r="D22" s="23"/>
    </row>
    <row r="23" spans="2:4" x14ac:dyDescent="0.35">
      <c r="B23" s="26" t="s">
        <v>121</v>
      </c>
      <c r="C23" s="27">
        <v>0.4</v>
      </c>
      <c r="D23" s="23"/>
    </row>
    <row r="24" spans="2:4" x14ac:dyDescent="0.35">
      <c r="B24" s="21"/>
      <c r="C24" s="21"/>
      <c r="D24" s="21"/>
    </row>
    <row r="25" spans="2:4" x14ac:dyDescent="0.35">
      <c r="B25" s="21"/>
      <c r="C25" s="21"/>
      <c r="D25" s="21"/>
    </row>
    <row r="26" spans="2:4" ht="18.75" customHeight="1" x14ac:dyDescent="0.35">
      <c r="B26" s="28" t="s">
        <v>87</v>
      </c>
    </row>
    <row r="27" spans="2:4" ht="18.75" customHeight="1" x14ac:dyDescent="0.35">
      <c r="B27" s="28"/>
    </row>
    <row r="28" spans="2:4" ht="18.75" customHeight="1" x14ac:dyDescent="0.35">
      <c r="B28" s="29" t="s">
        <v>1</v>
      </c>
      <c r="C28" s="30" t="s">
        <v>2</v>
      </c>
      <c r="D28" s="31" t="s">
        <v>4</v>
      </c>
    </row>
    <row r="29" spans="2:4" ht="18.75" customHeight="1" x14ac:dyDescent="0.35">
      <c r="B29" s="32" t="s">
        <v>7</v>
      </c>
      <c r="C29" s="33">
        <f>+C6</f>
        <v>4</v>
      </c>
      <c r="D29" s="33" t="s">
        <v>6</v>
      </c>
    </row>
    <row r="30" spans="2:4" ht="18.75" customHeight="1" x14ac:dyDescent="0.35">
      <c r="B30" s="34" t="s">
        <v>9</v>
      </c>
      <c r="C30" s="35">
        <f>+C8</f>
        <v>30</v>
      </c>
      <c r="D30" s="26" t="s">
        <v>9</v>
      </c>
    </row>
    <row r="31" spans="2:4" ht="18.75" customHeight="1" x14ac:dyDescent="0.35">
      <c r="B31" s="36" t="s">
        <v>43</v>
      </c>
      <c r="C31" s="26">
        <f>+C29*C30</f>
        <v>120</v>
      </c>
      <c r="D31" s="26" t="s">
        <v>9</v>
      </c>
    </row>
    <row r="32" spans="2:4" x14ac:dyDescent="0.35">
      <c r="B32" s="37" t="s">
        <v>35</v>
      </c>
      <c r="C32" s="38">
        <f>SUBTOTAL(109,C9:C15)</f>
        <v>7</v>
      </c>
      <c r="D32" s="35" t="s">
        <v>5</v>
      </c>
    </row>
    <row r="33" spans="2:4" ht="18.75" customHeight="1" x14ac:dyDescent="0.35"/>
    <row r="34" spans="2:4" x14ac:dyDescent="0.35">
      <c r="B34" s="28" t="s">
        <v>80</v>
      </c>
    </row>
    <row r="35" spans="2:4" x14ac:dyDescent="0.35">
      <c r="B35" s="28"/>
    </row>
    <row r="36" spans="2:4" x14ac:dyDescent="0.35">
      <c r="B36" s="29" t="s">
        <v>1</v>
      </c>
      <c r="C36" s="30" t="s">
        <v>2</v>
      </c>
      <c r="D36" s="31" t="s">
        <v>4</v>
      </c>
    </row>
    <row r="37" spans="2:4" x14ac:dyDescent="0.35">
      <c r="B37" s="32" t="s">
        <v>7</v>
      </c>
      <c r="C37" s="33">
        <f>+C6</f>
        <v>4</v>
      </c>
      <c r="D37" s="33" t="s">
        <v>6</v>
      </c>
    </row>
    <row r="38" spans="2:4" x14ac:dyDescent="0.35">
      <c r="B38" s="34" t="s">
        <v>9</v>
      </c>
      <c r="C38" s="35">
        <f>+C8</f>
        <v>30</v>
      </c>
      <c r="D38" s="26" t="s">
        <v>9</v>
      </c>
    </row>
    <row r="39" spans="2:4" x14ac:dyDescent="0.35">
      <c r="B39" s="36" t="s">
        <v>43</v>
      </c>
      <c r="C39" s="26">
        <f>+C37*C38</f>
        <v>120</v>
      </c>
      <c r="D39" s="26" t="s">
        <v>9</v>
      </c>
    </row>
    <row r="40" spans="2:4" x14ac:dyDescent="0.35">
      <c r="B40" s="39" t="s">
        <v>109</v>
      </c>
      <c r="C40" s="40">
        <v>0.2</v>
      </c>
      <c r="D40" s="41" t="s">
        <v>110</v>
      </c>
    </row>
  </sheetData>
  <mergeCells count="2">
    <mergeCell ref="B2:D2"/>
    <mergeCell ref="B3:D3"/>
  </mergeCell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23"/>
  <sheetViews>
    <sheetView topLeftCell="A10" zoomScale="85" zoomScaleNormal="85" workbookViewId="0">
      <selection activeCell="A7" sqref="A1:XFD1048576"/>
    </sheetView>
  </sheetViews>
  <sheetFormatPr baseColWidth="10" defaultRowHeight="14.5" x14ac:dyDescent="0.35"/>
  <cols>
    <col min="1" max="1" width="37.54296875" style="19" customWidth="1"/>
    <col min="2" max="2" width="8.54296875" style="26" customWidth="1"/>
    <col min="3" max="3" width="17.453125" style="19" customWidth="1"/>
    <col min="4" max="4" width="14.7265625" style="19" customWidth="1"/>
    <col min="5" max="5" width="13.26953125" style="43" customWidth="1"/>
    <col min="6" max="6" width="16.7265625" style="19" customWidth="1"/>
    <col min="7" max="7" width="16.26953125" style="19" customWidth="1"/>
    <col min="8" max="8" width="16.453125" style="19" customWidth="1"/>
    <col min="9" max="9" width="8.81640625" style="19" customWidth="1"/>
    <col min="10" max="10" width="10.453125" style="19" customWidth="1"/>
    <col min="11" max="11" width="15.1796875" style="19" customWidth="1"/>
    <col min="12" max="12" width="10.90625" style="19"/>
    <col min="13" max="13" width="17.1796875" style="44" customWidth="1"/>
    <col min="14" max="14" width="11.453125" style="44"/>
    <col min="15" max="16384" width="10.90625" style="19"/>
  </cols>
  <sheetData>
    <row r="2" spans="1:14" x14ac:dyDescent="0.35">
      <c r="A2" s="42" t="s">
        <v>32</v>
      </c>
      <c r="M2" s="44" t="s">
        <v>123</v>
      </c>
      <c r="N2" s="44">
        <v>12</v>
      </c>
    </row>
    <row r="3" spans="1:14" s="48" customFormat="1" ht="26" x14ac:dyDescent="0.35">
      <c r="A3" s="45" t="s">
        <v>1</v>
      </c>
      <c r="B3" s="45" t="s">
        <v>10</v>
      </c>
      <c r="C3" s="45" t="s">
        <v>19</v>
      </c>
      <c r="D3" s="45" t="s">
        <v>18</v>
      </c>
      <c r="E3" s="46" t="s">
        <v>11</v>
      </c>
      <c r="F3" s="45" t="s">
        <v>12</v>
      </c>
      <c r="G3" s="45" t="s">
        <v>13</v>
      </c>
      <c r="H3" s="45" t="s">
        <v>14</v>
      </c>
      <c r="I3" s="45" t="s">
        <v>15</v>
      </c>
      <c r="J3" s="45" t="s">
        <v>84</v>
      </c>
      <c r="K3" s="45" t="s">
        <v>16</v>
      </c>
      <c r="L3" s="45" t="s">
        <v>17</v>
      </c>
      <c r="M3" s="47" t="s">
        <v>124</v>
      </c>
      <c r="N3" s="47">
        <v>425</v>
      </c>
    </row>
    <row r="4" spans="1:14" x14ac:dyDescent="0.35">
      <c r="A4" s="49" t="str">
        <f>+ESCENARIO!B9</f>
        <v>&lt;Detallar cargos del Equipo técnico mínimo clave&gt;</v>
      </c>
      <c r="B4" s="50">
        <f>+'C1 - PERSONAL TECNICO'!G13</f>
        <v>0</v>
      </c>
      <c r="C4" s="51"/>
      <c r="D4" s="51">
        <f>+Tabla6[[#This Row],[SUELDO MENSUAL]]*Tabla6[[#This Row],[MESES ]]</f>
        <v>0</v>
      </c>
      <c r="E4" s="51">
        <f>+ROUND(Tabla6[[#This Row],[SUELDO TOTAL]]/($N$2*2),2)</f>
        <v>0</v>
      </c>
      <c r="F4" s="51">
        <f>+(Tabla6[[#This Row],[SUELDO MENSUAL]]/$N$2)*Tabla6[[#This Row],[MESES ]]</f>
        <v>0</v>
      </c>
      <c r="G4" s="51">
        <f>+(ESCENARIO!$C$7/12)*Tabla6[[#This Row],[MESES ]]</f>
        <v>0</v>
      </c>
      <c r="H4" s="51">
        <f>ROUND(Tabla6[[#This Row],[SUELDO TOTAL]]*12.15%,2)</f>
        <v>0</v>
      </c>
      <c r="I4" s="51">
        <f>0.083333*Tabla6[[#This Row],[SUELDO MENSUAL]]</f>
        <v>0</v>
      </c>
      <c r="J4" s="51">
        <f>SUM(Tabla6[[#This Row],[VACACIONES]:[FONDO RESERVA]])</f>
        <v>0</v>
      </c>
      <c r="K4" s="51">
        <f>SUM(Tabla6[[#This Row],[SUELDO TOTAL]:[FONDO RESERVA]])</f>
        <v>0</v>
      </c>
      <c r="L4" s="51">
        <f>+IFERROR(ROUND(Tabla6[[#This Row],[TOTAL]]/Tabla6[[#This Row],[MESES ]],2),0)</f>
        <v>0</v>
      </c>
      <c r="M4" s="44" t="s">
        <v>125</v>
      </c>
      <c r="N4" s="52">
        <f>+N3/N2</f>
        <v>35.416666666666664</v>
      </c>
    </row>
    <row r="5" spans="1:14" x14ac:dyDescent="0.35">
      <c r="A5" s="49" t="str">
        <f>+ESCENARIO!B10</f>
        <v>&lt;Detallar cargos del Equipo técnico mínimo clave&gt;</v>
      </c>
      <c r="B5" s="50">
        <f>+'C1 - PERSONAL TECNICO'!G19</f>
        <v>0</v>
      </c>
      <c r="C5" s="51"/>
      <c r="D5" s="51">
        <f>+Tabla6[[#This Row],[SUELDO MENSUAL]]*Tabla6[[#This Row],[MESES ]]</f>
        <v>0</v>
      </c>
      <c r="E5" s="51">
        <f>+ROUND(Tabla6[[#This Row],[SUELDO TOTAL]]/($N$2*2),2)</f>
        <v>0</v>
      </c>
      <c r="F5" s="53">
        <f>+(Tabla6[[#This Row],[SUELDO MENSUAL]]/$N$2)*Tabla6[[#This Row],[MESES ]]</f>
        <v>0</v>
      </c>
      <c r="G5" s="53">
        <f>+(ESCENARIO!$C$7/12)*Tabla6[[#This Row],[MESES ]]</f>
        <v>0</v>
      </c>
      <c r="H5" s="53">
        <f>ROUND(Tabla6[[#This Row],[SUELDO TOTAL]]*12.15%,2)</f>
        <v>0</v>
      </c>
      <c r="I5" s="53">
        <f>0.083333*Tabla6[[#This Row],[SUELDO MENSUAL]]</f>
        <v>0</v>
      </c>
      <c r="J5" s="53">
        <f>SUM(Tabla6[[#This Row],[VACACIONES]:[FONDO RESERVA]])</f>
        <v>0</v>
      </c>
      <c r="K5" s="53">
        <f>SUM(Tabla6[[#This Row],[SUELDO TOTAL]:[FONDO RESERVA]])</f>
        <v>0</v>
      </c>
      <c r="L5" s="54">
        <f>+IFERROR(ROUND(Tabla6[[#This Row],[TOTAL]]/Tabla6[[#This Row],[MESES ]],2),0)</f>
        <v>0</v>
      </c>
    </row>
    <row r="6" spans="1:14" x14ac:dyDescent="0.35">
      <c r="A6" s="49" t="str">
        <f>+ESCENARIO!B11</f>
        <v>&lt;Detallar cargos del Equipo técnico mínimo clave&gt;</v>
      </c>
      <c r="B6" s="50">
        <f>+'C1 - PERSONAL TECNICO'!G15</f>
        <v>0</v>
      </c>
      <c r="C6" s="51"/>
      <c r="D6" s="51">
        <f>+Tabla6[[#This Row],[SUELDO MENSUAL]]*Tabla6[[#This Row],[MESES ]]</f>
        <v>0</v>
      </c>
      <c r="E6" s="51">
        <f>+ROUND(Tabla6[[#This Row],[SUELDO TOTAL]]/($N$2*2),2)</f>
        <v>0</v>
      </c>
      <c r="F6" s="51">
        <f>+(Tabla6[[#This Row],[SUELDO MENSUAL]]/$N$2)*Tabla6[[#This Row],[MESES ]]</f>
        <v>0</v>
      </c>
      <c r="G6" s="51">
        <f>+(ESCENARIO!$C$7/12)*Tabla6[[#This Row],[MESES ]]</f>
        <v>0</v>
      </c>
      <c r="H6" s="51">
        <f>ROUND(Tabla6[[#This Row],[SUELDO TOTAL]]*12.15%,2)</f>
        <v>0</v>
      </c>
      <c r="I6" s="51">
        <f>0.083333*Tabla6[[#This Row],[SUELDO MENSUAL]]</f>
        <v>0</v>
      </c>
      <c r="J6" s="51">
        <f>SUM(Tabla6[[#This Row],[VACACIONES]:[FONDO RESERVA]])</f>
        <v>0</v>
      </c>
      <c r="K6" s="51">
        <f>SUM(Tabla6[[#This Row],[SUELDO TOTAL]:[FONDO RESERVA]])</f>
        <v>0</v>
      </c>
      <c r="L6" s="51">
        <f>+IFERROR(ROUND(Tabla6[[#This Row],[TOTAL]]/Tabla6[[#This Row],[MESES ]],2),0)</f>
        <v>0</v>
      </c>
      <c r="M6" s="44" t="s">
        <v>126</v>
      </c>
      <c r="N6" s="44" t="s">
        <v>127</v>
      </c>
    </row>
    <row r="7" spans="1:14" x14ac:dyDescent="0.35">
      <c r="A7" s="49" t="str">
        <f>+ESCENARIO!B12</f>
        <v>&lt;Detallar cargos del Equipo técnico mínimo clave&gt;</v>
      </c>
      <c r="B7" s="50">
        <f>+'C1 - PERSONAL TECNICO'!G18</f>
        <v>0</v>
      </c>
      <c r="C7" s="51"/>
      <c r="D7" s="51">
        <f>+Tabla6[[#This Row],[SUELDO MENSUAL]]*Tabla6[[#This Row],[MESES ]]</f>
        <v>0</v>
      </c>
      <c r="E7" s="51">
        <f>+ROUND(Tabla6[[#This Row],[SUELDO TOTAL]]/($N$2*2),2)</f>
        <v>0</v>
      </c>
      <c r="F7" s="51">
        <f>+(Tabla6[[#This Row],[SUELDO MENSUAL]]/$N$2)*Tabla6[[#This Row],[MESES ]]</f>
        <v>0</v>
      </c>
      <c r="G7" s="51">
        <f>+(ESCENARIO!$C$7/12)*Tabla6[[#This Row],[MESES ]]</f>
        <v>0</v>
      </c>
      <c r="H7" s="51">
        <f>ROUND(Tabla6[[#This Row],[SUELDO TOTAL]]*12.15%,2)</f>
        <v>0</v>
      </c>
      <c r="I7" s="51">
        <f>0.083333*Tabla6[[#This Row],[SUELDO MENSUAL]]</f>
        <v>0</v>
      </c>
      <c r="J7" s="51">
        <f>SUM(Tabla6[[#This Row],[VACACIONES]:[FONDO RESERVA]])</f>
        <v>0</v>
      </c>
      <c r="K7" s="51">
        <f>SUM(Tabla6[[#This Row],[SUELDO TOTAL]:[FONDO RESERVA]])</f>
        <v>0</v>
      </c>
      <c r="L7" s="51">
        <f>+IFERROR(ROUND(Tabla6[[#This Row],[TOTAL]]/Tabla6[[#This Row],[MESES ]],2),0)</f>
        <v>0</v>
      </c>
    </row>
    <row r="8" spans="1:14" x14ac:dyDescent="0.35">
      <c r="A8" s="49" t="str">
        <f>+ESCENARIO!B13</f>
        <v>&lt;Detallar cargos del Equipo técnico mínimo clave&gt;</v>
      </c>
      <c r="B8" s="50">
        <f>+'C1 - PERSONAL TECNICO'!G14</f>
        <v>0</v>
      </c>
      <c r="C8" s="51"/>
      <c r="D8" s="51">
        <f>+Tabla6[[#This Row],[SUELDO MENSUAL]]*Tabla6[[#This Row],[MESES ]]</f>
        <v>0</v>
      </c>
      <c r="E8" s="51">
        <f>+ROUND(Tabla6[[#This Row],[SUELDO TOTAL]]/($N$2*2),2)</f>
        <v>0</v>
      </c>
      <c r="F8" s="51">
        <f>+(Tabla6[[#This Row],[SUELDO MENSUAL]]/$N$2)*Tabla6[[#This Row],[MESES ]]</f>
        <v>0</v>
      </c>
      <c r="G8" s="51">
        <f>+(ESCENARIO!$C$7/12)*Tabla6[[#This Row],[MESES ]]</f>
        <v>0</v>
      </c>
      <c r="H8" s="51">
        <f>ROUND(Tabla6[[#This Row],[SUELDO TOTAL]]*12.15%,2)</f>
        <v>0</v>
      </c>
      <c r="I8" s="51">
        <f>0.083333*Tabla6[[#This Row],[SUELDO MENSUAL]]</f>
        <v>0</v>
      </c>
      <c r="J8" s="51">
        <f>SUM(Tabla6[[#This Row],[VACACIONES]:[FONDO RESERVA]])</f>
        <v>0</v>
      </c>
      <c r="K8" s="51">
        <f>SUM(Tabla6[[#This Row],[SUELDO TOTAL]:[FONDO RESERVA]])</f>
        <v>0</v>
      </c>
      <c r="L8" s="51">
        <f>+IFERROR(ROUND(Tabla6[[#This Row],[TOTAL]]/Tabla6[[#This Row],[MESES ]],2),0)</f>
        <v>0</v>
      </c>
    </row>
    <row r="9" spans="1:14" x14ac:dyDescent="0.35">
      <c r="A9" s="49" t="str">
        <f>+ESCENARIO!B14</f>
        <v>&lt;Detallar cargos del Equipo técnico mínimo clave&gt;</v>
      </c>
      <c r="B9" s="50">
        <f>+'C1 - PERSONAL TECNICO'!G16</f>
        <v>0</v>
      </c>
      <c r="C9" s="51"/>
      <c r="D9" s="51">
        <f>+Tabla6[[#This Row],[SUELDO MENSUAL]]*Tabla6[[#This Row],[MESES ]]</f>
        <v>0</v>
      </c>
      <c r="E9" s="51">
        <f>+ROUND(Tabla6[[#This Row],[SUELDO TOTAL]]/($N$2*2),2)</f>
        <v>0</v>
      </c>
      <c r="F9" s="51">
        <f>+(Tabla6[[#This Row],[SUELDO MENSUAL]]/$N$2)*Tabla6[[#This Row],[MESES ]]</f>
        <v>0</v>
      </c>
      <c r="G9" s="51">
        <f>+(ESCENARIO!$C$7/12)*Tabla6[[#This Row],[MESES ]]</f>
        <v>0</v>
      </c>
      <c r="H9" s="51">
        <f>ROUND(Tabla6[[#This Row],[SUELDO TOTAL]]*12.15%,2)</f>
        <v>0</v>
      </c>
      <c r="I9" s="51">
        <f>0.083333*Tabla6[[#This Row],[SUELDO MENSUAL]]</f>
        <v>0</v>
      </c>
      <c r="J9" s="51">
        <f>SUM(Tabla6[[#This Row],[VACACIONES]:[FONDO RESERVA]])</f>
        <v>0</v>
      </c>
      <c r="K9" s="51">
        <f>SUM(Tabla6[[#This Row],[SUELDO TOTAL]:[FONDO RESERVA]])</f>
        <v>0</v>
      </c>
      <c r="L9" s="51">
        <f>+IFERROR(ROUND(Tabla6[[#This Row],[TOTAL]]/Tabla6[[#This Row],[MESES ]],2),0)</f>
        <v>0</v>
      </c>
      <c r="N9" s="44" t="s">
        <v>128</v>
      </c>
    </row>
    <row r="10" spans="1:14" x14ac:dyDescent="0.35">
      <c r="A10" s="49" t="str">
        <f>+ESCENARIO!B15</f>
        <v>&lt;Detallar cargos del Equipo técnico mínimo clave&gt;</v>
      </c>
      <c r="B10" s="50">
        <f>+'C1 - PERSONAL TECNICO'!G17</f>
        <v>0</v>
      </c>
      <c r="C10" s="51"/>
      <c r="D10" s="51">
        <f>+Tabla6[[#This Row],[SUELDO MENSUAL]]*Tabla6[[#This Row],[MESES ]]</f>
        <v>0</v>
      </c>
      <c r="E10" s="51">
        <f>+ROUND(Tabla6[[#This Row],[SUELDO TOTAL]]/($N$2*2),2)</f>
        <v>0</v>
      </c>
      <c r="F10" s="51">
        <f>+(Tabla6[[#This Row],[SUELDO MENSUAL]]/$N$2)*Tabla6[[#This Row],[MESES ]]</f>
        <v>0</v>
      </c>
      <c r="G10" s="51">
        <f>+(ESCENARIO!$C$7/12)*Tabla6[[#This Row],[MESES ]]</f>
        <v>0</v>
      </c>
      <c r="H10" s="51">
        <f>ROUND(Tabla6[[#This Row],[SUELDO TOTAL]]*12.15%,2)</f>
        <v>0</v>
      </c>
      <c r="I10" s="51">
        <f>0.083333*Tabla6[[#This Row],[SUELDO MENSUAL]]</f>
        <v>0</v>
      </c>
      <c r="J10" s="51">
        <f>SUM(Tabla6[[#This Row],[VACACIONES]:[FONDO RESERVA]])</f>
        <v>0</v>
      </c>
      <c r="K10" s="51">
        <f>SUM(Tabla6[[#This Row],[SUELDO TOTAL]:[FONDO RESERVA]])</f>
        <v>0</v>
      </c>
      <c r="L10" s="51">
        <f>+IFERROR(ROUND(Tabla6[[#This Row],[TOTAL]]/Tabla6[[#This Row],[MESES ]],2),0)</f>
        <v>0</v>
      </c>
      <c r="M10" s="44" t="s">
        <v>129</v>
      </c>
      <c r="N10" s="44" t="s">
        <v>130</v>
      </c>
    </row>
    <row r="13" spans="1:14" x14ac:dyDescent="0.35">
      <c r="A13" s="49"/>
      <c r="B13" s="55"/>
      <c r="C13" s="51"/>
      <c r="D13" s="51"/>
      <c r="E13" s="51"/>
      <c r="F13" s="51"/>
      <c r="G13" s="51"/>
      <c r="H13" s="51"/>
      <c r="I13" s="51"/>
      <c r="J13" s="51"/>
      <c r="K13" s="51"/>
      <c r="L13" s="51"/>
    </row>
    <row r="14" spans="1:14" x14ac:dyDescent="0.35">
      <c r="A14" s="42" t="s">
        <v>108</v>
      </c>
      <c r="C14" s="56"/>
      <c r="D14" s="56"/>
      <c r="E14" s="56"/>
      <c r="F14" s="56"/>
      <c r="G14" s="56"/>
      <c r="H14" s="56"/>
      <c r="I14" s="56"/>
      <c r="J14" s="56"/>
      <c r="K14" s="56"/>
    </row>
    <row r="15" spans="1:14" ht="26.5" thickBot="1" x14ac:dyDescent="0.4">
      <c r="A15" s="57" t="s">
        <v>1</v>
      </c>
      <c r="B15" s="58" t="s">
        <v>10</v>
      </c>
      <c r="C15" s="58" t="s">
        <v>19</v>
      </c>
      <c r="D15" s="58" t="s">
        <v>18</v>
      </c>
      <c r="E15" s="59" t="s">
        <v>11</v>
      </c>
      <c r="F15" s="58" t="s">
        <v>12</v>
      </c>
      <c r="G15" s="58" t="s">
        <v>13</v>
      </c>
      <c r="H15" s="58" t="s">
        <v>14</v>
      </c>
      <c r="I15" s="58" t="s">
        <v>15</v>
      </c>
      <c r="J15" s="45" t="s">
        <v>84</v>
      </c>
      <c r="K15" s="60" t="s">
        <v>16</v>
      </c>
      <c r="L15" s="60" t="s">
        <v>17</v>
      </c>
    </row>
    <row r="16" spans="1:14" x14ac:dyDescent="0.35">
      <c r="A16" s="61" t="str">
        <f>+ESCENARIO!B16</f>
        <v>Asistente Tecnico</v>
      </c>
      <c r="B16" s="62"/>
      <c r="C16" s="63"/>
      <c r="D16" s="63">
        <f>+B16*C16</f>
        <v>0</v>
      </c>
      <c r="E16" s="64">
        <f>+ROUND(Tabla12[[#This Row],[SUELDO TOTAL]]/24,2)</f>
        <v>0</v>
      </c>
      <c r="F16" s="63">
        <f>+(C16/12)*B16</f>
        <v>0</v>
      </c>
      <c r="G16" s="63">
        <f>+(ESCENARIO!$C$7/12)*B16</f>
        <v>0</v>
      </c>
      <c r="H16" s="63">
        <f>ROUND(D16*11.15%,2)</f>
        <v>0</v>
      </c>
      <c r="I16" s="51">
        <f>0.083333*Tabla12[[#This Row],[SUELDO MENSUAL]]</f>
        <v>0</v>
      </c>
      <c r="J16" s="63">
        <f>SUM(Tabla12[[#This Row],[VACACIONES]:[FONDO RESERVA]])</f>
        <v>0</v>
      </c>
      <c r="K16" s="63">
        <f>ROUND(SUM(Tabla12[[#This Row],[SUELDO TOTAL]:[TOTAL CARGAS]]),2)</f>
        <v>0</v>
      </c>
      <c r="L16" s="51">
        <f>+IFERROR(ROUND(Tabla12[[#This Row],[TOTAL]]/Tabla12[[#This Row],[MESES ]],2),0)</f>
        <v>0</v>
      </c>
    </row>
    <row r="17" spans="1:12" x14ac:dyDescent="0.35">
      <c r="A17" s="61" t="str">
        <f>+ESCENARIO!B17</f>
        <v>Asistente Administrativo</v>
      </c>
      <c r="B17" s="62"/>
      <c r="C17" s="63"/>
      <c r="D17" s="63">
        <f>+B17*C17</f>
        <v>0</v>
      </c>
      <c r="E17" s="64">
        <f>+ROUND(Tabla12[[#This Row],[SUELDO TOTAL]]/24,2)</f>
        <v>0</v>
      </c>
      <c r="F17" s="63">
        <f>+(C17/12)*B17</f>
        <v>0</v>
      </c>
      <c r="G17" s="63">
        <f>+(ESCENARIO!$C$7/12)*B17</f>
        <v>0</v>
      </c>
      <c r="H17" s="63">
        <f>ROUND(D17*11.15%,2)</f>
        <v>0</v>
      </c>
      <c r="I17" s="51">
        <f>0.083333*Tabla12[[#This Row],[SUELDO MENSUAL]]</f>
        <v>0</v>
      </c>
      <c r="J17" s="63">
        <f>SUM(Tabla12[[#This Row],[VACACIONES]:[FONDO RESERVA]])</f>
        <v>0</v>
      </c>
      <c r="K17" s="63">
        <f>ROUND(SUM(Tabla12[[#This Row],[SUELDO TOTAL]:[TOTAL CARGAS]]),2)</f>
        <v>0</v>
      </c>
      <c r="L17" s="51">
        <f>+IFERROR(ROUND(Tabla12[[#This Row],[TOTAL]]/Tabla12[[#This Row],[MESES ]],2),0)</f>
        <v>0</v>
      </c>
    </row>
    <row r="19" spans="1:12" x14ac:dyDescent="0.35">
      <c r="A19" s="42" t="s">
        <v>116</v>
      </c>
    </row>
    <row r="20" spans="1:12" ht="26" x14ac:dyDescent="0.35">
      <c r="A20" s="45" t="s">
        <v>1</v>
      </c>
      <c r="B20" s="45" t="s">
        <v>10</v>
      </c>
      <c r="C20" s="45" t="s">
        <v>19</v>
      </c>
      <c r="D20" s="45" t="s">
        <v>18</v>
      </c>
      <c r="E20" s="46" t="s">
        <v>11</v>
      </c>
      <c r="F20" s="45" t="s">
        <v>12</v>
      </c>
      <c r="G20" s="45" t="s">
        <v>13</v>
      </c>
      <c r="H20" s="45" t="s">
        <v>14</v>
      </c>
      <c r="I20" s="45" t="s">
        <v>15</v>
      </c>
      <c r="J20" s="45" t="s">
        <v>84</v>
      </c>
      <c r="K20" s="45" t="s">
        <v>16</v>
      </c>
      <c r="L20" s="45" t="s">
        <v>17</v>
      </c>
    </row>
    <row r="21" spans="1:12" x14ac:dyDescent="0.35">
      <c r="A21" s="65" t="str">
        <f>+ESCENARIO!B18</f>
        <v>Direccion Administrativa</v>
      </c>
      <c r="B21" s="66">
        <v>0</v>
      </c>
      <c r="C21" s="51"/>
      <c r="D21" s="51">
        <f>(+Tabla21[[#This Row],[MESES ]]*Tabla21[[#This Row],[SUELDO MENSUAL]])*ESCENARIO!C40</f>
        <v>0</v>
      </c>
      <c r="E21" s="51">
        <f>+ROUND(Tabla21[[#This Row],[SUELDO TOTAL]]/24,2)</f>
        <v>0</v>
      </c>
      <c r="F21" s="51">
        <f t="shared" ref="F21:F22" si="0">+(C21/12)*B21</f>
        <v>0</v>
      </c>
      <c r="G21" s="63">
        <f>+(ESCENARIO!$C$7/12)*B21</f>
        <v>0</v>
      </c>
      <c r="H21" s="51">
        <f>ROUND(Tabla21[[#This Row],[SUELDO TOTAL]]*12.15%,2)</f>
        <v>0</v>
      </c>
      <c r="I21" s="51">
        <f>0.083333*Tabla21[[#This Row],[SUELDO MENSUAL]]</f>
        <v>0</v>
      </c>
      <c r="J21" s="51">
        <f>SUM(Tabla21[[#This Row],[VACACIONES]:[FONDO RESERVA]])</f>
        <v>0</v>
      </c>
      <c r="K21" s="63">
        <f>ROUND(SUM(Tabla21[[#This Row],[SUELDO TOTAL]:[TOTAL CARGAS]]),2)</f>
        <v>0</v>
      </c>
      <c r="L21" s="51">
        <f>+IFERROR(ROUND(Tabla21[[#This Row],[TOTAL]]/Tabla21[[#This Row],[MESES ]],2),0)</f>
        <v>0</v>
      </c>
    </row>
    <row r="22" spans="1:12" x14ac:dyDescent="0.35">
      <c r="A22" s="65" t="str">
        <f>+ESCENARIO!B19</f>
        <v>Gerencia General</v>
      </c>
      <c r="B22" s="66">
        <v>0</v>
      </c>
      <c r="C22" s="51"/>
      <c r="D22" s="51">
        <f>(+Tabla21[[#This Row],[MESES ]]*Tabla21[[#This Row],[SUELDO MENSUAL]])*ESCENARIO!C40</f>
        <v>0</v>
      </c>
      <c r="E22" s="51">
        <f>+ROUND(Tabla21[[#This Row],[SUELDO TOTAL]]/24,2)</f>
        <v>0</v>
      </c>
      <c r="F22" s="51">
        <f t="shared" si="0"/>
        <v>0</v>
      </c>
      <c r="G22" s="63">
        <f>+(ESCENARIO!$C$7/12)*B22</f>
        <v>0</v>
      </c>
      <c r="H22" s="51">
        <f>ROUND(Tabla21[[#This Row],[SUELDO TOTAL]]*12.15%,2)</f>
        <v>0</v>
      </c>
      <c r="I22" s="51">
        <f>0.083333*Tabla21[[#This Row],[SUELDO MENSUAL]]</f>
        <v>0</v>
      </c>
      <c r="J22" s="51">
        <f>SUM(Tabla21[[#This Row],[VACACIONES]:[FONDO RESERVA]])</f>
        <v>0</v>
      </c>
      <c r="K22" s="63">
        <f>ROUND(SUM(Tabla21[[#This Row],[SUELDO TOTAL]:[TOTAL CARGAS]]),2)</f>
        <v>0</v>
      </c>
      <c r="L22" s="51">
        <f>+IFERROR(ROUND(Tabla21[[#This Row],[TOTAL]]/Tabla21[[#This Row],[MESES ]],2),0)</f>
        <v>0</v>
      </c>
    </row>
    <row r="23" spans="1:12" x14ac:dyDescent="0.35">
      <c r="A23" s="49"/>
      <c r="B23" s="66"/>
      <c r="C23" s="51"/>
      <c r="D23" s="51"/>
      <c r="E23" s="51"/>
      <c r="F23" s="51"/>
      <c r="G23" s="51"/>
      <c r="H23" s="51"/>
      <c r="I23" s="51">
        <f>0.083333*Tabla21[[#This Row],[SUELDO MENSUAL]]</f>
        <v>0</v>
      </c>
      <c r="J23" s="51"/>
      <c r="K23" s="51"/>
      <c r="L23" s="51"/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M59"/>
  <sheetViews>
    <sheetView topLeftCell="B7" zoomScaleNormal="100" workbookViewId="0">
      <selection activeCell="B7" sqref="A1:XFD1048576"/>
    </sheetView>
  </sheetViews>
  <sheetFormatPr baseColWidth="10" defaultRowHeight="14.5" x14ac:dyDescent="0.35"/>
  <cols>
    <col min="1" max="1" width="10.90625" style="19"/>
    <col min="2" max="2" width="10.7265625" style="19" customWidth="1"/>
    <col min="3" max="3" width="45.7265625" style="19" bestFit="1" customWidth="1"/>
    <col min="4" max="4" width="11.1796875" style="19" customWidth="1"/>
    <col min="5" max="5" width="23.453125" style="19" bestFit="1" customWidth="1"/>
    <col min="6" max="6" width="15.453125" style="19" customWidth="1"/>
    <col min="7" max="7" width="13.81640625" style="19" customWidth="1"/>
    <col min="8" max="8" width="13" style="19" customWidth="1"/>
    <col min="9" max="9" width="12" style="19" bestFit="1" customWidth="1"/>
    <col min="10" max="11" width="11.54296875" style="19" bestFit="1" customWidth="1"/>
    <col min="12" max="12" width="13" style="19" bestFit="1" customWidth="1"/>
    <col min="13" max="16384" width="10.90625" style="19"/>
  </cols>
  <sheetData>
    <row r="2" spans="2:13" x14ac:dyDescent="0.35">
      <c r="B2" s="67"/>
      <c r="C2" s="67"/>
      <c r="D2" s="68"/>
      <c r="E2" s="69"/>
      <c r="F2" s="70"/>
      <c r="G2" s="70"/>
      <c r="H2" s="71"/>
      <c r="M2" s="26"/>
    </row>
    <row r="3" spans="2:13" ht="15.5" x14ac:dyDescent="0.35">
      <c r="B3" s="72" t="s">
        <v>83</v>
      </c>
      <c r="C3" s="72"/>
      <c r="D3" s="72"/>
      <c r="E3" s="72"/>
      <c r="F3" s="72"/>
      <c r="G3" s="72"/>
      <c r="H3" s="72"/>
      <c r="M3" s="26"/>
    </row>
    <row r="4" spans="2:13" x14ac:dyDescent="0.35">
      <c r="B4" s="28"/>
      <c r="C4" s="26"/>
      <c r="D4" s="26"/>
      <c r="E4" s="69"/>
      <c r="F4" s="70"/>
      <c r="G4" s="70"/>
      <c r="H4" s="71"/>
      <c r="M4" s="26"/>
    </row>
    <row r="5" spans="2:13" x14ac:dyDescent="0.35">
      <c r="C5" s="73" t="s">
        <v>1</v>
      </c>
      <c r="D5" s="30" t="s">
        <v>2</v>
      </c>
      <c r="E5" s="30" t="s">
        <v>4</v>
      </c>
      <c r="F5" s="70"/>
      <c r="G5" s="70"/>
      <c r="H5" s="71"/>
      <c r="M5" s="26"/>
    </row>
    <row r="6" spans="2:13" x14ac:dyDescent="0.35">
      <c r="C6" s="74" t="str">
        <f>+ESCENARIO!B29</f>
        <v>Meses de trabajo</v>
      </c>
      <c r="D6" s="74">
        <v>4</v>
      </c>
      <c r="E6" s="74" t="str">
        <f>+ESCENARIO!D29</f>
        <v>meses</v>
      </c>
      <c r="F6" s="70"/>
      <c r="G6" s="70"/>
      <c r="H6" s="71"/>
      <c r="M6" s="26"/>
    </row>
    <row r="7" spans="2:13" x14ac:dyDescent="0.35">
      <c r="C7" s="74" t="str">
        <f>+ESCENARIO!B30</f>
        <v>Días laborables</v>
      </c>
      <c r="D7" s="74">
        <v>30</v>
      </c>
      <c r="E7" s="74" t="str">
        <f>+ESCENARIO!D30</f>
        <v>Días laborables</v>
      </c>
      <c r="F7" s="75"/>
      <c r="G7" s="75"/>
      <c r="H7" s="75"/>
      <c r="M7" s="26"/>
    </row>
    <row r="8" spans="2:13" x14ac:dyDescent="0.35">
      <c r="C8" s="74" t="s">
        <v>131</v>
      </c>
      <c r="D8" s="74">
        <v>3</v>
      </c>
      <c r="E8" s="74" t="str">
        <f>+ESCENARIO!D31</f>
        <v>Días laborables</v>
      </c>
      <c r="F8" s="75"/>
      <c r="G8" s="75"/>
      <c r="H8" s="75"/>
      <c r="M8" s="26"/>
    </row>
    <row r="9" spans="2:13" x14ac:dyDescent="0.35">
      <c r="B9" s="74"/>
      <c r="C9" s="74" t="s">
        <v>132</v>
      </c>
      <c r="D9" s="74">
        <v>3</v>
      </c>
      <c r="E9" s="76" t="str">
        <f>+ESCENARIO!D32</f>
        <v>personas</v>
      </c>
      <c r="F9" s="71"/>
      <c r="G9" s="71"/>
      <c r="H9" s="75"/>
      <c r="M9" s="26"/>
    </row>
    <row r="10" spans="2:13" x14ac:dyDescent="0.35">
      <c r="B10" s="74"/>
      <c r="C10" s="74" t="s">
        <v>133</v>
      </c>
      <c r="D10" s="74">
        <v>5</v>
      </c>
      <c r="E10" s="76" t="s">
        <v>5</v>
      </c>
      <c r="F10" s="71"/>
      <c r="G10" s="71"/>
      <c r="H10" s="75"/>
      <c r="M10" s="26"/>
    </row>
    <row r="11" spans="2:13" x14ac:dyDescent="0.35">
      <c r="B11" s="77" t="s">
        <v>79</v>
      </c>
      <c r="C11" s="77"/>
      <c r="D11" s="77"/>
      <c r="E11" s="77"/>
      <c r="F11" s="77"/>
      <c r="G11" s="77"/>
      <c r="H11" s="77"/>
      <c r="M11" s="26"/>
    </row>
    <row r="12" spans="2:13" s="36" customFormat="1" x14ac:dyDescent="0.35">
      <c r="B12" s="78" t="s">
        <v>24</v>
      </c>
      <c r="C12" s="79" t="s">
        <v>25</v>
      </c>
      <c r="D12" s="79" t="s">
        <v>26</v>
      </c>
      <c r="E12" s="79" t="s">
        <v>27</v>
      </c>
      <c r="F12" s="80" t="s">
        <v>33</v>
      </c>
      <c r="G12" s="81" t="s">
        <v>34</v>
      </c>
      <c r="H12" s="82" t="s">
        <v>29</v>
      </c>
      <c r="L12" s="26"/>
    </row>
    <row r="13" spans="2:13" x14ac:dyDescent="0.35">
      <c r="B13" s="83">
        <v>1</v>
      </c>
      <c r="C13" s="84" t="str">
        <f>+NÓMINA!A4</f>
        <v>&lt;Detallar cargos del Equipo técnico mínimo clave&gt;</v>
      </c>
      <c r="D13" s="85"/>
      <c r="E13" s="86" t="s">
        <v>38</v>
      </c>
      <c r="F13" s="87">
        <f>+NÓMINA!C4</f>
        <v>0</v>
      </c>
      <c r="G13" s="88">
        <v>0</v>
      </c>
      <c r="H13" s="89">
        <f>+F13*D13*G13</f>
        <v>0</v>
      </c>
      <c r="L13" s="26"/>
    </row>
    <row r="14" spans="2:13" x14ac:dyDescent="0.35">
      <c r="B14" s="83">
        <v>2</v>
      </c>
      <c r="C14" s="84" t="str">
        <f>+NÓMINA!A8</f>
        <v>&lt;Detallar cargos del Equipo técnico mínimo clave&gt;</v>
      </c>
      <c r="D14" s="85"/>
      <c r="E14" s="86" t="s">
        <v>38</v>
      </c>
      <c r="F14" s="87">
        <f>+NÓMINA!D8</f>
        <v>0</v>
      </c>
      <c r="G14" s="88">
        <v>0</v>
      </c>
      <c r="H14" s="89">
        <f t="shared" ref="H14:H21" si="0">+F14*D14*G14</f>
        <v>0</v>
      </c>
      <c r="L14" s="26"/>
    </row>
    <row r="15" spans="2:13" x14ac:dyDescent="0.35">
      <c r="B15" s="83">
        <v>3</v>
      </c>
      <c r="C15" s="84" t="str">
        <f>+NÓMINA!A6</f>
        <v>&lt;Detallar cargos del Equipo técnico mínimo clave&gt;</v>
      </c>
      <c r="D15" s="85"/>
      <c r="E15" s="86" t="s">
        <v>38</v>
      </c>
      <c r="F15" s="87">
        <f>+NÓMINA!D6</f>
        <v>0</v>
      </c>
      <c r="G15" s="88">
        <v>0</v>
      </c>
      <c r="H15" s="89">
        <f t="shared" si="0"/>
        <v>0</v>
      </c>
      <c r="L15" s="26"/>
    </row>
    <row r="16" spans="2:13" x14ac:dyDescent="0.35">
      <c r="B16" s="83">
        <v>4</v>
      </c>
      <c r="C16" s="84" t="str">
        <f>+NÓMINA!A9</f>
        <v>&lt;Detallar cargos del Equipo técnico mínimo clave&gt;</v>
      </c>
      <c r="D16" s="85"/>
      <c r="E16" s="86" t="s">
        <v>38</v>
      </c>
      <c r="F16" s="87">
        <f>+NÓMINA!D9</f>
        <v>0</v>
      </c>
      <c r="G16" s="88">
        <v>0</v>
      </c>
      <c r="H16" s="89">
        <f t="shared" si="0"/>
        <v>0</v>
      </c>
      <c r="L16" s="26"/>
    </row>
    <row r="17" spans="2:13" x14ac:dyDescent="0.35">
      <c r="B17" s="83">
        <v>5</v>
      </c>
      <c r="C17" s="84" t="str">
        <f>+NÓMINA!A10</f>
        <v>&lt;Detallar cargos del Equipo técnico mínimo clave&gt;</v>
      </c>
      <c r="D17" s="85"/>
      <c r="E17" s="86" t="s">
        <v>38</v>
      </c>
      <c r="F17" s="87">
        <f>+NÓMINA!C10</f>
        <v>0</v>
      </c>
      <c r="G17" s="88">
        <v>0</v>
      </c>
      <c r="H17" s="89">
        <f t="shared" si="0"/>
        <v>0</v>
      </c>
      <c r="L17" s="26"/>
    </row>
    <row r="18" spans="2:13" x14ac:dyDescent="0.35">
      <c r="B18" s="83">
        <v>6</v>
      </c>
      <c r="C18" s="84" t="str">
        <f>+NÓMINA!A7</f>
        <v>&lt;Detallar cargos del Equipo técnico mínimo clave&gt;</v>
      </c>
      <c r="D18" s="85"/>
      <c r="E18" s="86" t="s">
        <v>38</v>
      </c>
      <c r="F18" s="87">
        <f>+NÓMINA!D7</f>
        <v>0</v>
      </c>
      <c r="G18" s="88">
        <v>0</v>
      </c>
      <c r="H18" s="89">
        <f t="shared" si="0"/>
        <v>0</v>
      </c>
      <c r="L18" s="26"/>
    </row>
    <row r="19" spans="2:13" x14ac:dyDescent="0.35">
      <c r="B19" s="83">
        <v>9</v>
      </c>
      <c r="C19" s="84" t="str">
        <f>+NÓMINA!A5</f>
        <v>&lt;Detallar cargos del Equipo técnico mínimo clave&gt;</v>
      </c>
      <c r="D19" s="85"/>
      <c r="E19" s="86" t="s">
        <v>38</v>
      </c>
      <c r="F19" s="87">
        <f>+NÓMINA!C5</f>
        <v>0</v>
      </c>
      <c r="G19" s="88">
        <v>0</v>
      </c>
      <c r="H19" s="89">
        <f t="shared" si="0"/>
        <v>0</v>
      </c>
      <c r="L19" s="26"/>
    </row>
    <row r="20" spans="2:13" x14ac:dyDescent="0.35">
      <c r="B20" s="83"/>
      <c r="C20" s="84" t="str">
        <f>+NÓMINA!A16</f>
        <v>Asistente Tecnico</v>
      </c>
      <c r="D20" s="85"/>
      <c r="E20" s="86" t="s">
        <v>38</v>
      </c>
      <c r="F20" s="87">
        <f>+NÓMINA!C16</f>
        <v>0</v>
      </c>
      <c r="G20" s="88">
        <v>0</v>
      </c>
      <c r="H20" s="89">
        <f t="shared" si="0"/>
        <v>0</v>
      </c>
      <c r="L20" s="26"/>
    </row>
    <row r="21" spans="2:13" x14ac:dyDescent="0.35">
      <c r="B21" s="83"/>
      <c r="C21" s="90" t="str">
        <f>+NÓMINA!A17</f>
        <v>Asistente Administrativo</v>
      </c>
      <c r="D21" s="91"/>
      <c r="E21" s="86" t="s">
        <v>38</v>
      </c>
      <c r="F21" s="87">
        <f>+NÓMINA!C17</f>
        <v>0</v>
      </c>
      <c r="G21" s="88">
        <v>0</v>
      </c>
      <c r="H21" s="89">
        <f t="shared" si="0"/>
        <v>0</v>
      </c>
      <c r="L21" s="26"/>
    </row>
    <row r="22" spans="2:13" x14ac:dyDescent="0.35">
      <c r="B22" s="83"/>
      <c r="C22" s="84" t="str">
        <f>+NÓMINA!A21</f>
        <v>Direccion Administrativa</v>
      </c>
      <c r="D22" s="85"/>
      <c r="E22" s="86" t="s">
        <v>38</v>
      </c>
      <c r="F22" s="87">
        <f>+NÓMINA!C18</f>
        <v>0</v>
      </c>
      <c r="G22" s="88">
        <v>0</v>
      </c>
      <c r="H22" s="89">
        <f t="shared" ref="H22:H23" si="1">+F22*D22*G22</f>
        <v>0</v>
      </c>
      <c r="L22" s="26"/>
    </row>
    <row r="23" spans="2:13" x14ac:dyDescent="0.35">
      <c r="B23" s="83"/>
      <c r="C23" s="19" t="str">
        <f>+NÓMINA!A22</f>
        <v>Gerencia General</v>
      </c>
      <c r="D23" s="92"/>
      <c r="E23" s="86" t="s">
        <v>38</v>
      </c>
      <c r="F23" s="87">
        <f>+NÓMINA!C19</f>
        <v>0</v>
      </c>
      <c r="G23" s="88">
        <v>0</v>
      </c>
      <c r="H23" s="89">
        <f t="shared" si="1"/>
        <v>0</v>
      </c>
      <c r="L23" s="26"/>
    </row>
    <row r="24" spans="2:13" x14ac:dyDescent="0.35">
      <c r="B24" s="93" t="s">
        <v>3</v>
      </c>
      <c r="D24" s="94">
        <f>SUBTOTAL(109,Tabla49[CANT.])</f>
        <v>0</v>
      </c>
      <c r="E24" s="95"/>
      <c r="F24" s="96"/>
      <c r="G24" s="97"/>
      <c r="H24" s="98">
        <f>SUBTOTAL(109,Tabla49[SUBTOTAL])</f>
        <v>0</v>
      </c>
      <c r="L24" s="26"/>
    </row>
    <row r="25" spans="2:13" x14ac:dyDescent="0.35">
      <c r="B25" s="99"/>
      <c r="C25" s="100"/>
      <c r="D25" s="92"/>
      <c r="E25" s="100"/>
      <c r="F25" s="101"/>
      <c r="G25" s="101"/>
      <c r="H25" s="102"/>
      <c r="M25" s="26"/>
    </row>
    <row r="26" spans="2:13" ht="29" x14ac:dyDescent="0.35">
      <c r="B26" s="78" t="s">
        <v>24</v>
      </c>
      <c r="C26" s="79" t="s">
        <v>25</v>
      </c>
      <c r="D26" s="79" t="s">
        <v>26</v>
      </c>
      <c r="E26" s="79" t="s">
        <v>27</v>
      </c>
      <c r="F26" s="103" t="s">
        <v>86</v>
      </c>
      <c r="G26" s="81" t="s">
        <v>34</v>
      </c>
      <c r="H26" s="82" t="s">
        <v>29</v>
      </c>
      <c r="M26" s="26"/>
    </row>
    <row r="27" spans="2:13" x14ac:dyDescent="0.35">
      <c r="B27" s="83">
        <v>1</v>
      </c>
      <c r="C27" s="84" t="str">
        <f>+NÓMINA!A4</f>
        <v>&lt;Detallar cargos del Equipo técnico mínimo clave&gt;</v>
      </c>
      <c r="D27" s="85">
        <f t="shared" ref="D27:D37" si="2">+D13</f>
        <v>0</v>
      </c>
      <c r="E27" s="86" t="s">
        <v>38</v>
      </c>
      <c r="F27" s="87">
        <f>+NÓMINA!J4</f>
        <v>0</v>
      </c>
      <c r="G27" s="88">
        <f t="shared" ref="G27:G37" si="3">+G13</f>
        <v>0</v>
      </c>
      <c r="H27" s="89">
        <f>+F27*D27*G27</f>
        <v>0</v>
      </c>
      <c r="M27" s="26"/>
    </row>
    <row r="28" spans="2:13" x14ac:dyDescent="0.35">
      <c r="B28" s="83">
        <v>2</v>
      </c>
      <c r="C28" s="84" t="str">
        <f>+NÓMINA!A5</f>
        <v>&lt;Detallar cargos del Equipo técnico mínimo clave&gt;</v>
      </c>
      <c r="D28" s="85">
        <f t="shared" si="2"/>
        <v>0</v>
      </c>
      <c r="E28" s="86" t="s">
        <v>38</v>
      </c>
      <c r="F28" s="87">
        <f>+NÓMINA!J5</f>
        <v>0</v>
      </c>
      <c r="G28" s="88">
        <f t="shared" si="3"/>
        <v>0</v>
      </c>
      <c r="H28" s="89">
        <f t="shared" ref="H28:H37" si="4">+F28*D28*G28</f>
        <v>0</v>
      </c>
      <c r="M28" s="26"/>
    </row>
    <row r="29" spans="2:13" x14ac:dyDescent="0.35">
      <c r="B29" s="83">
        <v>3</v>
      </c>
      <c r="C29" s="84" t="str">
        <f>+NÓMINA!A6</f>
        <v>&lt;Detallar cargos del Equipo técnico mínimo clave&gt;</v>
      </c>
      <c r="D29" s="85">
        <f t="shared" si="2"/>
        <v>0</v>
      </c>
      <c r="E29" s="86" t="s">
        <v>38</v>
      </c>
      <c r="F29" s="87">
        <f>+NÓMINA!J6</f>
        <v>0</v>
      </c>
      <c r="G29" s="88">
        <f t="shared" si="3"/>
        <v>0</v>
      </c>
      <c r="H29" s="89">
        <f t="shared" si="4"/>
        <v>0</v>
      </c>
      <c r="M29" s="26"/>
    </row>
    <row r="30" spans="2:13" x14ac:dyDescent="0.35">
      <c r="B30" s="83">
        <v>4</v>
      </c>
      <c r="C30" s="84" t="str">
        <f>+NÓMINA!A7</f>
        <v>&lt;Detallar cargos del Equipo técnico mínimo clave&gt;</v>
      </c>
      <c r="D30" s="85">
        <f t="shared" si="2"/>
        <v>0</v>
      </c>
      <c r="E30" s="86" t="s">
        <v>38</v>
      </c>
      <c r="F30" s="87">
        <f>+NÓMINA!J7</f>
        <v>0</v>
      </c>
      <c r="G30" s="88">
        <f t="shared" si="3"/>
        <v>0</v>
      </c>
      <c r="H30" s="89">
        <f t="shared" si="4"/>
        <v>0</v>
      </c>
      <c r="M30" s="26"/>
    </row>
    <row r="31" spans="2:13" x14ac:dyDescent="0.35">
      <c r="B31" s="83">
        <v>5</v>
      </c>
      <c r="C31" s="84" t="str">
        <f>+NÓMINA!A8</f>
        <v>&lt;Detallar cargos del Equipo técnico mínimo clave&gt;</v>
      </c>
      <c r="D31" s="85">
        <f t="shared" si="2"/>
        <v>0</v>
      </c>
      <c r="E31" s="86" t="s">
        <v>38</v>
      </c>
      <c r="F31" s="87">
        <f>+NÓMINA!J8</f>
        <v>0</v>
      </c>
      <c r="G31" s="88">
        <f t="shared" si="3"/>
        <v>0</v>
      </c>
      <c r="H31" s="89">
        <f t="shared" si="4"/>
        <v>0</v>
      </c>
      <c r="M31" s="26"/>
    </row>
    <row r="32" spans="2:13" x14ac:dyDescent="0.35">
      <c r="B32" s="83">
        <v>6</v>
      </c>
      <c r="C32" s="84" t="str">
        <f>+NÓMINA!A9</f>
        <v>&lt;Detallar cargos del Equipo técnico mínimo clave&gt;</v>
      </c>
      <c r="D32" s="85">
        <f t="shared" si="2"/>
        <v>0</v>
      </c>
      <c r="E32" s="86" t="s">
        <v>38</v>
      </c>
      <c r="F32" s="87">
        <f>+NÓMINA!J9</f>
        <v>0</v>
      </c>
      <c r="G32" s="88">
        <f t="shared" si="3"/>
        <v>0</v>
      </c>
      <c r="H32" s="89">
        <f t="shared" si="4"/>
        <v>0</v>
      </c>
      <c r="M32" s="26"/>
    </row>
    <row r="33" spans="2:13" x14ac:dyDescent="0.35">
      <c r="B33" s="83">
        <v>7</v>
      </c>
      <c r="C33" s="84" t="str">
        <f>+NÓMINA!A10</f>
        <v>&lt;Detallar cargos del Equipo técnico mínimo clave&gt;</v>
      </c>
      <c r="D33" s="85">
        <f t="shared" si="2"/>
        <v>0</v>
      </c>
      <c r="E33" s="86" t="s">
        <v>38</v>
      </c>
      <c r="F33" s="87">
        <f>+NÓMINA!J10</f>
        <v>0</v>
      </c>
      <c r="G33" s="88">
        <f t="shared" si="3"/>
        <v>0</v>
      </c>
      <c r="H33" s="89">
        <f t="shared" si="4"/>
        <v>0</v>
      </c>
      <c r="M33" s="26"/>
    </row>
    <row r="34" spans="2:13" x14ac:dyDescent="0.35">
      <c r="B34" s="83">
        <v>8</v>
      </c>
      <c r="C34" s="84"/>
      <c r="D34" s="85">
        <f t="shared" si="2"/>
        <v>0</v>
      </c>
      <c r="E34" s="86" t="s">
        <v>38</v>
      </c>
      <c r="F34" s="87">
        <f>+NÓMINA!J11</f>
        <v>0</v>
      </c>
      <c r="G34" s="88">
        <f t="shared" si="3"/>
        <v>0</v>
      </c>
      <c r="H34" s="89">
        <f t="shared" si="4"/>
        <v>0</v>
      </c>
      <c r="M34" s="26"/>
    </row>
    <row r="35" spans="2:13" x14ac:dyDescent="0.35">
      <c r="B35" s="83">
        <v>9</v>
      </c>
      <c r="C35" s="84"/>
      <c r="D35" s="85">
        <f t="shared" si="2"/>
        <v>0</v>
      </c>
      <c r="E35" s="86" t="s">
        <v>38</v>
      </c>
      <c r="F35" s="87">
        <f>+NÓMINA!J12</f>
        <v>0</v>
      </c>
      <c r="G35" s="88">
        <f t="shared" si="3"/>
        <v>0</v>
      </c>
      <c r="H35" s="89">
        <f t="shared" si="4"/>
        <v>0</v>
      </c>
      <c r="M35" s="26"/>
    </row>
    <row r="36" spans="2:13" x14ac:dyDescent="0.35">
      <c r="B36" s="83"/>
      <c r="C36" s="84"/>
      <c r="D36" s="85">
        <f t="shared" si="2"/>
        <v>0</v>
      </c>
      <c r="E36" s="86" t="s">
        <v>38</v>
      </c>
      <c r="F36" s="87">
        <f>+NÓMINA!J13</f>
        <v>0</v>
      </c>
      <c r="G36" s="88">
        <f t="shared" si="3"/>
        <v>0</v>
      </c>
      <c r="H36" s="89">
        <f t="shared" si="4"/>
        <v>0</v>
      </c>
      <c r="M36" s="26"/>
    </row>
    <row r="37" spans="2:13" s="84" customFormat="1" x14ac:dyDescent="0.35">
      <c r="B37" s="99"/>
      <c r="C37" s="90"/>
      <c r="D37" s="85">
        <f t="shared" si="2"/>
        <v>0</v>
      </c>
      <c r="E37" s="86" t="s">
        <v>38</v>
      </c>
      <c r="F37" s="87">
        <f>+NÓMINA!J14</f>
        <v>0</v>
      </c>
      <c r="G37" s="88">
        <f t="shared" si="3"/>
        <v>0</v>
      </c>
      <c r="H37" s="89">
        <f t="shared" si="4"/>
        <v>0</v>
      </c>
      <c r="M37" s="35"/>
    </row>
    <row r="38" spans="2:13" s="84" customFormat="1" x14ac:dyDescent="0.35">
      <c r="B38" s="93" t="s">
        <v>3</v>
      </c>
      <c r="C38" s="19"/>
      <c r="D38" s="94">
        <f>SUBTOTAL(109,Tabla50[CANT.])</f>
        <v>0</v>
      </c>
      <c r="E38" s="95"/>
      <c r="F38" s="96"/>
      <c r="G38" s="97"/>
      <c r="H38" s="98">
        <f>SUBTOTAL(109,Tabla50[SUBTOTAL])</f>
        <v>0</v>
      </c>
      <c r="M38" s="35"/>
    </row>
    <row r="39" spans="2:13" s="84" customFormat="1" x14ac:dyDescent="0.35">
      <c r="B39" s="99"/>
      <c r="C39" s="100"/>
      <c r="D39" s="92"/>
      <c r="E39" s="100"/>
      <c r="F39" s="101"/>
      <c r="G39" s="101"/>
      <c r="M39" s="35"/>
    </row>
    <row r="40" spans="2:13" x14ac:dyDescent="0.35">
      <c r="B40" s="99"/>
      <c r="C40" s="100"/>
      <c r="D40" s="92"/>
      <c r="E40" s="100"/>
      <c r="F40" s="101"/>
      <c r="G40" s="101"/>
      <c r="H40" s="84"/>
      <c r="I40" s="84"/>
      <c r="M40" s="26"/>
    </row>
    <row r="41" spans="2:13" x14ac:dyDescent="0.35">
      <c r="B41" s="104" t="s">
        <v>36</v>
      </c>
      <c r="C41" s="104"/>
      <c r="D41" s="105"/>
      <c r="E41" s="105"/>
      <c r="F41" s="106"/>
      <c r="G41" s="107"/>
      <c r="H41" s="108"/>
      <c r="I41" s="84"/>
      <c r="M41" s="26"/>
    </row>
    <row r="42" spans="2:13" x14ac:dyDescent="0.35">
      <c r="B42" s="109" t="s">
        <v>24</v>
      </c>
      <c r="C42" s="109" t="s">
        <v>117</v>
      </c>
      <c r="D42" s="109" t="s">
        <v>26</v>
      </c>
      <c r="E42" s="109" t="s">
        <v>27</v>
      </c>
      <c r="F42" s="110" t="s">
        <v>39</v>
      </c>
      <c r="G42" s="111" t="s">
        <v>34</v>
      </c>
      <c r="H42" s="112" t="s">
        <v>29</v>
      </c>
      <c r="I42" s="84"/>
      <c r="M42" s="26"/>
    </row>
    <row r="43" spans="2:13" x14ac:dyDescent="0.35">
      <c r="B43" s="113">
        <v>1</v>
      </c>
      <c r="C43" s="114" t="s">
        <v>85</v>
      </c>
      <c r="D43" s="85">
        <f>+Tabla50[[#Totals],[CANT.]]</f>
        <v>0</v>
      </c>
      <c r="E43" s="86" t="s">
        <v>38</v>
      </c>
      <c r="F43" s="87"/>
      <c r="G43" s="88">
        <f>+D6</f>
        <v>4</v>
      </c>
      <c r="H43" s="89">
        <f>+F43*D43*G43</f>
        <v>0</v>
      </c>
      <c r="I43" s="84"/>
      <c r="M43" s="26"/>
    </row>
    <row r="44" spans="2:13" x14ac:dyDescent="0.35">
      <c r="B44" s="113"/>
      <c r="C44" s="114"/>
      <c r="D44" s="85"/>
      <c r="E44" s="86"/>
      <c r="F44" s="87"/>
      <c r="G44" s="88"/>
      <c r="H44" s="89"/>
      <c r="I44" s="84"/>
      <c r="M44" s="26"/>
    </row>
    <row r="45" spans="2:13" x14ac:dyDescent="0.35">
      <c r="B45" s="113"/>
      <c r="C45" s="114"/>
      <c r="D45" s="85"/>
      <c r="E45" s="86"/>
      <c r="F45" s="87"/>
      <c r="G45" s="88"/>
      <c r="H45" s="89"/>
      <c r="I45" s="84"/>
      <c r="M45" s="26"/>
    </row>
    <row r="46" spans="2:13" x14ac:dyDescent="0.35">
      <c r="B46" s="97" t="s">
        <v>3</v>
      </c>
      <c r="C46" s="115"/>
      <c r="E46" s="95"/>
      <c r="F46" s="96"/>
      <c r="G46" s="97"/>
      <c r="H46" s="98">
        <f>SUBTOTAL(109,Tabla51[SUBTOTAL])</f>
        <v>0</v>
      </c>
      <c r="I46" s="84"/>
      <c r="M46" s="26"/>
    </row>
    <row r="47" spans="2:13" x14ac:dyDescent="0.35">
      <c r="B47" s="113"/>
      <c r="C47" s="113"/>
      <c r="D47" s="113"/>
      <c r="E47" s="113"/>
      <c r="F47" s="87"/>
      <c r="G47" s="87"/>
      <c r="H47" s="113"/>
      <c r="I47" s="84"/>
      <c r="M47" s="26"/>
    </row>
    <row r="48" spans="2:13" x14ac:dyDescent="0.35">
      <c r="B48" s="104" t="s">
        <v>41</v>
      </c>
      <c r="C48" s="105"/>
      <c r="D48" s="105"/>
      <c r="E48" s="105"/>
      <c r="F48" s="106"/>
      <c r="G48" s="116"/>
      <c r="H48" s="112"/>
      <c r="I48" s="84"/>
      <c r="M48" s="26"/>
    </row>
    <row r="49" spans="1:13" x14ac:dyDescent="0.35">
      <c r="B49" s="109" t="s">
        <v>24</v>
      </c>
      <c r="C49" s="109" t="s">
        <v>117</v>
      </c>
      <c r="D49" s="109" t="s">
        <v>26</v>
      </c>
      <c r="E49" s="109" t="s">
        <v>27</v>
      </c>
      <c r="F49" s="117" t="s">
        <v>28</v>
      </c>
      <c r="G49" s="111" t="s">
        <v>40</v>
      </c>
      <c r="H49" s="112" t="s">
        <v>29</v>
      </c>
      <c r="I49" s="84"/>
      <c r="M49" s="26"/>
    </row>
    <row r="50" spans="1:13" x14ac:dyDescent="0.35">
      <c r="B50" s="113">
        <v>1</v>
      </c>
      <c r="C50" s="114" t="s">
        <v>37</v>
      </c>
      <c r="D50" s="85">
        <f>+Tabla49[[#Totals],[CANT.]]</f>
        <v>0</v>
      </c>
      <c r="E50" s="86" t="s">
        <v>38</v>
      </c>
      <c r="F50" s="87">
        <f>+ESCENARIO!C20</f>
        <v>10</v>
      </c>
      <c r="G50" s="88">
        <f>+D8</f>
        <v>3</v>
      </c>
      <c r="H50" s="89">
        <f>+D50*F50*G50</f>
        <v>0</v>
      </c>
      <c r="I50" s="84"/>
      <c r="M50" s="26"/>
    </row>
    <row r="51" spans="1:13" x14ac:dyDescent="0.35">
      <c r="B51" s="113">
        <v>2</v>
      </c>
      <c r="C51" s="114" t="s">
        <v>81</v>
      </c>
      <c r="D51" s="85">
        <f>+D50</f>
        <v>0</v>
      </c>
      <c r="E51" s="86" t="s">
        <v>38</v>
      </c>
      <c r="F51" s="87">
        <f>+ESCENARIO!C22</f>
        <v>10</v>
      </c>
      <c r="G51" s="88">
        <f>+G50*2</f>
        <v>6</v>
      </c>
      <c r="H51" s="89">
        <f>+D51*F51*G51</f>
        <v>0</v>
      </c>
      <c r="I51" s="84"/>
      <c r="M51" s="26"/>
    </row>
    <row r="52" spans="1:13" x14ac:dyDescent="0.35">
      <c r="A52" s="84"/>
      <c r="B52" s="113">
        <v>3</v>
      </c>
      <c r="C52" s="114" t="s">
        <v>82</v>
      </c>
      <c r="D52" s="85">
        <f>+D51</f>
        <v>0</v>
      </c>
      <c r="E52" s="86" t="s">
        <v>38</v>
      </c>
      <c r="F52" s="87">
        <f>+ESCENARIO!C21</f>
        <v>20</v>
      </c>
      <c r="G52" s="88">
        <f>+G50</f>
        <v>3</v>
      </c>
      <c r="H52" s="89">
        <f>+D52*F52*G52</f>
        <v>0</v>
      </c>
      <c r="I52" s="84"/>
      <c r="J52" s="84"/>
      <c r="M52" s="26"/>
    </row>
    <row r="53" spans="1:13" x14ac:dyDescent="0.35">
      <c r="B53" s="113"/>
      <c r="C53" s="114"/>
      <c r="D53" s="85"/>
      <c r="E53" s="86"/>
      <c r="F53" s="87"/>
      <c r="G53" s="88"/>
      <c r="H53" s="89"/>
    </row>
    <row r="54" spans="1:13" ht="13.5" customHeight="1" x14ac:dyDescent="0.35">
      <c r="B54" s="99"/>
      <c r="C54" s="113"/>
      <c r="D54" s="113"/>
      <c r="E54" s="113"/>
      <c r="F54" s="87"/>
      <c r="G54" s="118" t="s">
        <v>29</v>
      </c>
      <c r="H54" s="89">
        <f>SUBTOTAL(109,H50:H53)</f>
        <v>0</v>
      </c>
    </row>
    <row r="55" spans="1:13" ht="13.5" customHeight="1" x14ac:dyDescent="0.35">
      <c r="B55" s="99"/>
      <c r="C55" s="113"/>
      <c r="D55" s="113"/>
      <c r="E55" s="113"/>
      <c r="F55" s="87"/>
      <c r="G55" s="118"/>
      <c r="H55" s="89"/>
    </row>
    <row r="56" spans="1:13" x14ac:dyDescent="0.35">
      <c r="B56" s="119" t="s">
        <v>42</v>
      </c>
      <c r="C56" s="120"/>
      <c r="D56" s="120"/>
      <c r="E56" s="120"/>
      <c r="F56" s="120"/>
      <c r="G56" s="121"/>
      <c r="H56" s="122">
        <f>+Tabla49[[#Totals],[SUBTOTAL]]+Tabla50[[#Totals],[SUBTOTAL]]+Tabla51[[#Totals],[SUBTOTAL]]+H54</f>
        <v>0</v>
      </c>
    </row>
    <row r="57" spans="1:13" x14ac:dyDescent="0.35">
      <c r="B57" s="123"/>
      <c r="C57" s="123"/>
      <c r="D57" s="123"/>
      <c r="E57" s="123"/>
      <c r="F57" s="124"/>
      <c r="G57" s="124"/>
      <c r="H57" s="125"/>
    </row>
    <row r="58" spans="1:13" x14ac:dyDescent="0.35">
      <c r="B58" s="126" t="s">
        <v>78</v>
      </c>
      <c r="C58" s="127"/>
      <c r="D58" s="127"/>
      <c r="E58" s="127"/>
      <c r="F58" s="127"/>
      <c r="G58" s="127"/>
      <c r="H58" s="128">
        <f>+H56</f>
        <v>0</v>
      </c>
    </row>
    <row r="59" spans="1:13" x14ac:dyDescent="0.35">
      <c r="B59" s="123"/>
      <c r="C59" s="123"/>
      <c r="D59" s="123"/>
      <c r="E59" s="123"/>
      <c r="F59" s="124"/>
      <c r="G59" s="124"/>
      <c r="H59" s="129"/>
    </row>
  </sheetData>
  <mergeCells count="3">
    <mergeCell ref="B3:H3"/>
    <mergeCell ref="B56:G56"/>
    <mergeCell ref="B11:H11"/>
  </mergeCells>
  <pageMargins left="0.7" right="0.7" top="0.75" bottom="0.75" header="0.3" footer="0.3"/>
  <pageSetup paperSize="9" scale="71" orientation="portrait" horizontalDpi="360" verticalDpi="360" r:id="rId1"/>
  <tableParts count="5">
    <tablePart r:id="rId2"/>
    <tablePart r:id="rId3"/>
    <tablePart r:id="rId4"/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44"/>
  <sheetViews>
    <sheetView showGridLines="0" zoomScale="90" zoomScaleNormal="90" workbookViewId="0">
      <selection sqref="A1:XFD1048576"/>
    </sheetView>
  </sheetViews>
  <sheetFormatPr baseColWidth="10" defaultColWidth="11.453125" defaultRowHeight="14.5" x14ac:dyDescent="0.35"/>
  <cols>
    <col min="1" max="1" width="11.453125" style="115"/>
    <col min="2" max="2" width="40.81640625" style="115" bestFit="1" customWidth="1"/>
    <col min="3" max="3" width="12.26953125" style="115" customWidth="1"/>
    <col min="4" max="4" width="10.81640625" style="115" customWidth="1"/>
    <col min="5" max="5" width="28.1796875" style="115" bestFit="1" customWidth="1"/>
    <col min="6" max="6" width="21.7265625" style="115" customWidth="1"/>
    <col min="7" max="7" width="17.81640625" style="115" bestFit="1" customWidth="1"/>
    <col min="8" max="8" width="23" style="115" bestFit="1" customWidth="1"/>
    <col min="9" max="16384" width="11.453125" style="115"/>
  </cols>
  <sheetData>
    <row r="2" spans="1:7" x14ac:dyDescent="0.35">
      <c r="B2" s="130"/>
      <c r="C2" s="130"/>
      <c r="D2" s="130"/>
      <c r="E2" s="130"/>
      <c r="F2" s="130"/>
    </row>
    <row r="4" spans="1:7" x14ac:dyDescent="0.35">
      <c r="B4" s="131" t="s">
        <v>67</v>
      </c>
      <c r="C4" s="131"/>
      <c r="D4" s="131"/>
      <c r="E4" s="131"/>
      <c r="F4" s="131"/>
      <c r="G4" s="131"/>
    </row>
    <row r="5" spans="1:7" ht="9.75" customHeight="1" x14ac:dyDescent="0.35"/>
    <row r="6" spans="1:7" s="65" customFormat="1" ht="9.75" customHeight="1" x14ac:dyDescent="0.35"/>
    <row r="7" spans="1:7" s="65" customFormat="1" x14ac:dyDescent="0.35">
      <c r="B7" s="132" t="s">
        <v>88</v>
      </c>
      <c r="C7" s="132"/>
      <c r="D7" s="132"/>
      <c r="E7" s="132"/>
      <c r="F7" s="132"/>
      <c r="G7" s="132"/>
    </row>
    <row r="8" spans="1:7" s="65" customFormat="1" x14ac:dyDescent="0.35">
      <c r="B8" s="133" t="s">
        <v>68</v>
      </c>
      <c r="C8" s="134" t="s">
        <v>69</v>
      </c>
      <c r="D8" s="134" t="s">
        <v>70</v>
      </c>
      <c r="E8" s="134" t="s">
        <v>71</v>
      </c>
      <c r="F8" s="134" t="s">
        <v>72</v>
      </c>
    </row>
    <row r="9" spans="1:7" s="65" customFormat="1" x14ac:dyDescent="0.35">
      <c r="B9" s="61" t="s">
        <v>135</v>
      </c>
      <c r="C9" s="135">
        <f>+'C1 - PERSONAL TECNICO'!D10</f>
        <v>5</v>
      </c>
      <c r="D9" s="135">
        <f>+'C1 - PERSONAL TECNICO'!D6</f>
        <v>4</v>
      </c>
      <c r="E9" s="136">
        <f>+Tabla42[[#This Row],[Costo Total ($USD)]]/Tabla42[[#This Row],[Cantidad]]</f>
        <v>0</v>
      </c>
      <c r="F9" s="137">
        <v>0</v>
      </c>
    </row>
    <row r="10" spans="1:7" s="65" customFormat="1" x14ac:dyDescent="0.35">
      <c r="B10" s="138" t="s">
        <v>114</v>
      </c>
      <c r="C10" s="139">
        <v>1</v>
      </c>
      <c r="D10" s="139">
        <v>1</v>
      </c>
      <c r="E10" s="140"/>
      <c r="F10" s="140">
        <f>Tabla42[Costo Unitario ($USD)]*Tabla42[Tiempo]</f>
        <v>0</v>
      </c>
    </row>
    <row r="11" spans="1:7" s="65" customFormat="1" x14ac:dyDescent="0.35">
      <c r="B11" s="75"/>
      <c r="C11" s="75"/>
      <c r="D11" s="75"/>
      <c r="E11" s="75" t="s">
        <v>89</v>
      </c>
      <c r="F11" s="141">
        <f>SUBTOTAL(109,Tabla42[Costo Total ($USD)])</f>
        <v>0</v>
      </c>
    </row>
    <row r="12" spans="1:7" s="65" customFormat="1" ht="9.75" customHeight="1" x14ac:dyDescent="0.35"/>
    <row r="13" spans="1:7" s="65" customFormat="1" ht="40.5" customHeight="1" x14ac:dyDescent="0.35">
      <c r="B13" s="102" t="s">
        <v>90</v>
      </c>
    </row>
    <row r="14" spans="1:7" s="65" customFormat="1" ht="16.5" customHeight="1" x14ac:dyDescent="0.35">
      <c r="B14" s="133" t="s">
        <v>68</v>
      </c>
      <c r="C14" s="134" t="s">
        <v>69</v>
      </c>
      <c r="D14" s="134" t="s">
        <v>70</v>
      </c>
      <c r="E14" s="134" t="s">
        <v>71</v>
      </c>
      <c r="F14" s="134" t="s">
        <v>72</v>
      </c>
    </row>
    <row r="15" spans="1:7" s="65" customFormat="1" ht="19.5" customHeight="1" x14ac:dyDescent="0.35">
      <c r="B15" s="142" t="s">
        <v>115</v>
      </c>
      <c r="C15" s="143">
        <v>1</v>
      </c>
      <c r="D15" s="143">
        <f>ESCENARIO!C6</f>
        <v>4</v>
      </c>
      <c r="E15" s="144"/>
      <c r="F15" s="144">
        <f>Tabla43[Cantidad]*Tabla43[Tiempo]*Tabla43[Costo Unitario ($USD)]</f>
        <v>0</v>
      </c>
    </row>
    <row r="16" spans="1:7" s="65" customFormat="1" x14ac:dyDescent="0.35">
      <c r="A16" s="71"/>
      <c r="B16" s="145"/>
      <c r="C16" s="145"/>
      <c r="D16" s="145"/>
      <c r="E16" s="145"/>
      <c r="F16" s="146">
        <f>SUBTOTAL(109,Tabla43[Costo Total ($USD)])</f>
        <v>0</v>
      </c>
    </row>
    <row r="17" spans="1:8" s="71" customFormat="1" ht="14.25" customHeight="1" x14ac:dyDescent="0.35">
      <c r="A17" s="65"/>
    </row>
    <row r="18" spans="1:8" s="71" customFormat="1" ht="14.25" customHeight="1" x14ac:dyDescent="0.35">
      <c r="A18" s="65"/>
      <c r="B18" s="132" t="s">
        <v>91</v>
      </c>
      <c r="C18" s="132"/>
      <c r="D18" s="132"/>
      <c r="E18" s="132"/>
      <c r="F18" s="132"/>
    </row>
    <row r="19" spans="1:8" s="65" customFormat="1" x14ac:dyDescent="0.35">
      <c r="B19" s="133" t="s">
        <v>68</v>
      </c>
      <c r="C19" s="134" t="s">
        <v>69</v>
      </c>
      <c r="D19" s="134" t="s">
        <v>70</v>
      </c>
      <c r="E19" s="134" t="s">
        <v>71</v>
      </c>
      <c r="F19" s="134" t="s">
        <v>72</v>
      </c>
    </row>
    <row r="20" spans="1:8" s="65" customFormat="1" ht="27" customHeight="1" x14ac:dyDescent="0.35">
      <c r="B20" s="147" t="s">
        <v>73</v>
      </c>
      <c r="C20" s="62">
        <v>1</v>
      </c>
      <c r="D20" s="62">
        <v>1</v>
      </c>
      <c r="E20" s="148"/>
      <c r="F20" s="149">
        <f>+C20*D20*E20</f>
        <v>0</v>
      </c>
    </row>
    <row r="21" spans="1:8" s="65" customFormat="1" x14ac:dyDescent="0.35">
      <c r="B21" s="150" t="s">
        <v>3</v>
      </c>
      <c r="C21" s="151"/>
      <c r="D21" s="151"/>
      <c r="E21" s="152"/>
      <c r="F21" s="153">
        <f>SUBTOTAL(109,Tabla44[Costo Total ($USD)])</f>
        <v>0</v>
      </c>
    </row>
    <row r="22" spans="1:8" s="65" customFormat="1" x14ac:dyDescent="0.35">
      <c r="B22" s="150"/>
      <c r="C22" s="151"/>
      <c r="D22" s="151"/>
      <c r="E22" s="152"/>
      <c r="F22" s="153"/>
    </row>
    <row r="23" spans="1:8" s="61" customFormat="1" ht="21" customHeight="1" x14ac:dyDescent="0.35">
      <c r="A23" s="65"/>
      <c r="B23" s="132" t="s">
        <v>92</v>
      </c>
      <c r="C23" s="132"/>
      <c r="D23" s="132"/>
      <c r="E23" s="132"/>
      <c r="F23" s="132"/>
    </row>
    <row r="24" spans="1:8" s="65" customFormat="1" ht="16.5" customHeight="1" x14ac:dyDescent="0.35">
      <c r="B24" s="154" t="s">
        <v>68</v>
      </c>
      <c r="C24" s="134" t="s">
        <v>69</v>
      </c>
      <c r="D24" s="134" t="s">
        <v>70</v>
      </c>
      <c r="E24" s="134" t="s">
        <v>71</v>
      </c>
      <c r="F24" s="134" t="s">
        <v>72</v>
      </c>
      <c r="G24" s="155"/>
      <c r="H24" s="156"/>
    </row>
    <row r="25" spans="1:8" s="65" customFormat="1" x14ac:dyDescent="0.35">
      <c r="B25" s="65" t="s">
        <v>74</v>
      </c>
      <c r="C25" s="62">
        <v>1</v>
      </c>
      <c r="D25" s="62">
        <f>ESCENARIO!C6</f>
        <v>4</v>
      </c>
      <c r="E25" s="148"/>
      <c r="F25" s="156">
        <f>+C25*D25*E25</f>
        <v>0</v>
      </c>
      <c r="G25" s="155"/>
      <c r="H25" s="156"/>
    </row>
    <row r="26" spans="1:8" s="65" customFormat="1" x14ac:dyDescent="0.35">
      <c r="A26" s="71"/>
      <c r="B26" s="19" t="s">
        <v>3</v>
      </c>
      <c r="C26" s="19"/>
      <c r="D26" s="19"/>
      <c r="E26" s="19"/>
      <c r="F26" s="157">
        <f>SUBTOTAL(109,Tabla45[Costo Total ($USD)])</f>
        <v>0</v>
      </c>
    </row>
    <row r="27" spans="1:8" s="71" customFormat="1" ht="14.25" customHeight="1" x14ac:dyDescent="0.35">
      <c r="A27" s="65"/>
    </row>
    <row r="28" spans="1:8" s="71" customFormat="1" ht="14.25" customHeight="1" x14ac:dyDescent="0.35">
      <c r="A28" s="65"/>
    </row>
    <row r="29" spans="1:8" s="65" customFormat="1" x14ac:dyDescent="0.35">
      <c r="B29" s="132" t="s">
        <v>93</v>
      </c>
      <c r="C29" s="132"/>
      <c r="D29" s="132"/>
      <c r="E29" s="132"/>
      <c r="F29" s="132"/>
    </row>
    <row r="30" spans="1:8" s="65" customFormat="1" x14ac:dyDescent="0.35">
      <c r="B30" s="133" t="s">
        <v>68</v>
      </c>
      <c r="C30" s="134" t="s">
        <v>69</v>
      </c>
      <c r="D30" s="134" t="s">
        <v>70</v>
      </c>
      <c r="E30" s="134" t="s">
        <v>71</v>
      </c>
      <c r="F30" s="134" t="s">
        <v>72</v>
      </c>
    </row>
    <row r="31" spans="1:8" s="65" customFormat="1" x14ac:dyDescent="0.35">
      <c r="B31" s="147" t="s">
        <v>75</v>
      </c>
      <c r="C31" s="62">
        <v>1</v>
      </c>
      <c r="D31" s="62">
        <f>ESCENARIO!C6</f>
        <v>4</v>
      </c>
      <c r="E31" s="148"/>
      <c r="F31" s="149">
        <f>+C31*D31*E31</f>
        <v>0</v>
      </c>
    </row>
    <row r="32" spans="1:8" s="65" customFormat="1" x14ac:dyDescent="0.35">
      <c r="B32" s="150" t="s">
        <v>3</v>
      </c>
      <c r="C32" s="151"/>
      <c r="D32" s="151"/>
      <c r="E32" s="152"/>
      <c r="F32" s="153">
        <f>SUBTOTAL(109,Tabla46[Costo Total ($USD)])</f>
        <v>0</v>
      </c>
      <c r="G32" s="158"/>
    </row>
    <row r="33" spans="1:6" s="65" customFormat="1" x14ac:dyDescent="0.35"/>
    <row r="34" spans="1:6" s="65" customFormat="1" x14ac:dyDescent="0.35">
      <c r="B34" s="132" t="s">
        <v>94</v>
      </c>
      <c r="C34" s="132"/>
      <c r="D34" s="132"/>
      <c r="E34" s="132"/>
      <c r="F34" s="132"/>
    </row>
    <row r="35" spans="1:6" s="65" customFormat="1" x14ac:dyDescent="0.35">
      <c r="B35" s="159" t="s">
        <v>68</v>
      </c>
      <c r="C35" s="160" t="s">
        <v>69</v>
      </c>
      <c r="D35" s="160" t="s">
        <v>70</v>
      </c>
      <c r="E35" s="160" t="s">
        <v>71</v>
      </c>
      <c r="F35" s="160" t="s">
        <v>72</v>
      </c>
    </row>
    <row r="36" spans="1:6" s="65" customFormat="1" x14ac:dyDescent="0.35">
      <c r="A36" s="115"/>
      <c r="B36" s="161"/>
      <c r="C36" s="162"/>
      <c r="D36" s="162"/>
      <c r="E36" s="163"/>
      <c r="F36" s="164"/>
    </row>
    <row r="37" spans="1:6" s="65" customFormat="1" x14ac:dyDescent="0.35">
      <c r="A37" s="115"/>
      <c r="B37" s="165" t="s">
        <v>3</v>
      </c>
      <c r="C37" s="166"/>
      <c r="D37" s="166"/>
      <c r="E37" s="118"/>
      <c r="F37" s="167">
        <f>SUBTOTAL(103,Tabla48[Costo Total ($USD)])</f>
        <v>0</v>
      </c>
    </row>
    <row r="38" spans="1:6" x14ac:dyDescent="0.35">
      <c r="B38" s="132"/>
      <c r="C38" s="132"/>
      <c r="D38" s="132"/>
      <c r="E38" s="132"/>
      <c r="F38" s="155"/>
    </row>
    <row r="39" spans="1:6" x14ac:dyDescent="0.35">
      <c r="B39" s="99"/>
      <c r="C39" s="113"/>
      <c r="D39" s="113"/>
    </row>
    <row r="40" spans="1:6" x14ac:dyDescent="0.35">
      <c r="B40" s="99"/>
      <c r="C40" s="113"/>
      <c r="D40" s="113"/>
      <c r="E40" s="118"/>
      <c r="F40" s="89"/>
    </row>
    <row r="41" spans="1:6" x14ac:dyDescent="0.35">
      <c r="B41" s="119" t="s">
        <v>42</v>
      </c>
      <c r="C41" s="120"/>
      <c r="D41" s="120"/>
      <c r="E41" s="121"/>
      <c r="F41" s="168">
        <f>+Tabla46[[#Totals],[Costo Total ($USD)]]+Tabla48[[#Totals],[Costo Total ($USD)]]+Tabla45[[#Totals],[Costo Total ($USD)]]+Tabla44[[#Totals],[Costo Total ($USD)]]+Tabla43[[#Totals],[Costo Total ($USD)]]+Tabla42[[#Totals],[Costo Total ($USD)]]</f>
        <v>0</v>
      </c>
    </row>
    <row r="42" spans="1:6" x14ac:dyDescent="0.35">
      <c r="B42" s="123"/>
      <c r="C42" s="123"/>
      <c r="D42" s="123"/>
      <c r="E42" s="169"/>
      <c r="F42" s="170"/>
    </row>
    <row r="43" spans="1:6" x14ac:dyDescent="0.35">
      <c r="B43" s="126" t="s">
        <v>96</v>
      </c>
      <c r="C43" s="127"/>
      <c r="D43" s="127"/>
      <c r="E43" s="171"/>
      <c r="F43" s="172">
        <f>+F41</f>
        <v>0</v>
      </c>
    </row>
    <row r="44" spans="1:6" x14ac:dyDescent="0.35">
      <c r="B44" s="123"/>
      <c r="C44" s="123"/>
      <c r="D44" s="123"/>
      <c r="E44" s="169"/>
      <c r="F44" s="170"/>
    </row>
  </sheetData>
  <mergeCells count="2">
    <mergeCell ref="B41:E41"/>
    <mergeCell ref="B2:F2"/>
  </mergeCells>
  <pageMargins left="0.7" right="0.7" top="0.75" bottom="0.75" header="0.3" footer="0.3"/>
  <pageSetup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39"/>
  <sheetViews>
    <sheetView tabSelected="1" zoomScaleNormal="100" workbookViewId="0">
      <selection sqref="A1:XFD1048576"/>
    </sheetView>
  </sheetViews>
  <sheetFormatPr baseColWidth="10" defaultRowHeight="14.5" x14ac:dyDescent="0.35"/>
  <cols>
    <col min="1" max="1" width="10.90625" style="19"/>
    <col min="2" max="2" width="26.1796875" style="19" customWidth="1"/>
    <col min="3" max="3" width="22.26953125" style="19" bestFit="1" customWidth="1"/>
    <col min="4" max="4" width="23.453125" style="19" bestFit="1" customWidth="1"/>
    <col min="5" max="5" width="11.54296875" style="19" bestFit="1" customWidth="1"/>
    <col min="6" max="6" width="16.453125" style="19" bestFit="1" customWidth="1"/>
    <col min="7" max="7" width="10.1796875" style="19" bestFit="1" customWidth="1"/>
    <col min="8" max="8" width="12.26953125" style="19" customWidth="1"/>
    <col min="9" max="11" width="11.54296875" style="19" bestFit="1" customWidth="1"/>
    <col min="12" max="12" width="13" style="19" bestFit="1" customWidth="1"/>
    <col min="13" max="16384" width="10.90625" style="19"/>
  </cols>
  <sheetData>
    <row r="2" spans="2:13" ht="15.5" x14ac:dyDescent="0.35">
      <c r="B2" s="173" t="s">
        <v>76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spans="2:13" x14ac:dyDescent="0.35">
      <c r="B3" s="67"/>
      <c r="C3" s="67"/>
      <c r="D3" s="68"/>
      <c r="E3" s="69"/>
      <c r="F3" s="70"/>
      <c r="G3" s="71"/>
      <c r="H3" s="75"/>
      <c r="M3" s="26"/>
    </row>
    <row r="4" spans="2:13" x14ac:dyDescent="0.35">
      <c r="B4" s="174" t="s">
        <v>80</v>
      </c>
      <c r="C4" s="35"/>
      <c r="D4" s="35"/>
      <c r="E4" s="69"/>
      <c r="F4" s="70"/>
      <c r="G4" s="71"/>
      <c r="H4" s="71"/>
      <c r="I4" s="84"/>
      <c r="J4" s="84"/>
      <c r="M4" s="26"/>
    </row>
    <row r="5" spans="2:13" x14ac:dyDescent="0.35">
      <c r="B5" s="174"/>
      <c r="C5" s="35"/>
      <c r="D5" s="35"/>
      <c r="E5" s="69"/>
      <c r="F5" s="70"/>
      <c r="G5" s="71"/>
      <c r="H5" s="71"/>
      <c r="I5" s="84"/>
      <c r="J5" s="84"/>
      <c r="M5" s="26"/>
    </row>
    <row r="6" spans="2:13" x14ac:dyDescent="0.35">
      <c r="B6" s="175" t="s">
        <v>1</v>
      </c>
      <c r="C6" s="154" t="s">
        <v>2</v>
      </c>
      <c r="D6" s="154" t="s">
        <v>4</v>
      </c>
      <c r="E6" s="69"/>
      <c r="F6" s="70"/>
      <c r="G6" s="71"/>
      <c r="H6" s="71"/>
      <c r="I6" s="84"/>
      <c r="J6" s="84"/>
      <c r="M6" s="26"/>
    </row>
    <row r="7" spans="2:13" x14ac:dyDescent="0.35">
      <c r="B7" s="176" t="str">
        <f>+ESCENARIO!B37</f>
        <v>Meses de trabajo</v>
      </c>
      <c r="C7" s="176">
        <f>+ESCENARIO!C37</f>
        <v>4</v>
      </c>
      <c r="D7" s="176" t="str">
        <f>+ESCENARIO!D37</f>
        <v>meses</v>
      </c>
      <c r="E7" s="69"/>
      <c r="F7" s="70"/>
      <c r="G7" s="71"/>
      <c r="H7" s="71"/>
      <c r="I7" s="84"/>
      <c r="J7" s="84"/>
      <c r="M7" s="26"/>
    </row>
    <row r="8" spans="2:13" x14ac:dyDescent="0.35">
      <c r="B8" s="176" t="str">
        <f>+ESCENARIO!B38</f>
        <v>Días laborables</v>
      </c>
      <c r="C8" s="176">
        <f>+ESCENARIO!C38</f>
        <v>30</v>
      </c>
      <c r="D8" s="176" t="str">
        <f>+ESCENARIO!D38</f>
        <v>Días laborables</v>
      </c>
      <c r="E8" s="71"/>
      <c r="F8" s="71"/>
      <c r="G8" s="71"/>
      <c r="H8" s="71"/>
      <c r="I8" s="84"/>
      <c r="J8" s="84"/>
      <c r="M8" s="26"/>
    </row>
    <row r="9" spans="2:13" x14ac:dyDescent="0.35">
      <c r="B9" s="176" t="str">
        <f>+ESCENARIO!B39</f>
        <v>Total de días laborables</v>
      </c>
      <c r="C9" s="176">
        <f>+ESCENARIO!C39</f>
        <v>120</v>
      </c>
      <c r="D9" s="176" t="str">
        <f>+ESCENARIO!D39</f>
        <v>Días laborables</v>
      </c>
      <c r="E9" s="71"/>
      <c r="F9" s="71"/>
      <c r="G9" s="71"/>
      <c r="H9" s="71"/>
      <c r="I9" s="84"/>
      <c r="J9" s="84"/>
      <c r="M9" s="26"/>
    </row>
    <row r="10" spans="2:13" x14ac:dyDescent="0.35">
      <c r="B10" s="74"/>
      <c r="C10" s="74"/>
      <c r="D10" s="74"/>
      <c r="E10" s="71"/>
      <c r="F10" s="71"/>
      <c r="G10" s="71"/>
      <c r="H10" s="71"/>
      <c r="I10" s="84"/>
      <c r="J10" s="84"/>
      <c r="M10" s="26"/>
    </row>
    <row r="11" spans="2:13" x14ac:dyDescent="0.35">
      <c r="B11" s="74"/>
      <c r="C11" s="74"/>
      <c r="D11" s="74"/>
      <c r="E11" s="71"/>
      <c r="F11" s="71"/>
      <c r="G11" s="71"/>
      <c r="H11" s="71"/>
      <c r="I11" s="84"/>
      <c r="J11" s="84"/>
      <c r="M11" s="26"/>
    </row>
    <row r="12" spans="2:13" x14ac:dyDescent="0.35">
      <c r="B12" s="77" t="s">
        <v>79</v>
      </c>
      <c r="C12" s="77"/>
      <c r="D12" s="77"/>
      <c r="E12" s="77"/>
      <c r="F12" s="77"/>
      <c r="G12" s="77"/>
      <c r="H12" s="77"/>
      <c r="I12" s="84"/>
      <c r="J12" s="84"/>
      <c r="M12" s="26"/>
    </row>
    <row r="13" spans="2:13" x14ac:dyDescent="0.35">
      <c r="B13" s="177" t="s">
        <v>24</v>
      </c>
      <c r="C13" s="109" t="s">
        <v>25</v>
      </c>
      <c r="D13" s="109" t="s">
        <v>26</v>
      </c>
      <c r="E13" s="109" t="s">
        <v>27</v>
      </c>
      <c r="F13" s="117" t="s">
        <v>33</v>
      </c>
      <c r="G13" s="111" t="s">
        <v>34</v>
      </c>
      <c r="H13" s="112" t="s">
        <v>29</v>
      </c>
      <c r="I13" s="84"/>
      <c r="J13" s="84"/>
      <c r="M13" s="26"/>
    </row>
    <row r="14" spans="2:13" x14ac:dyDescent="0.35">
      <c r="B14" s="83">
        <v>1</v>
      </c>
      <c r="C14" s="84" t="str">
        <f>+NÓMINA!A21</f>
        <v>Direccion Administrativa</v>
      </c>
      <c r="D14" s="85">
        <v>1</v>
      </c>
      <c r="E14" s="86" t="s">
        <v>38</v>
      </c>
      <c r="F14" s="87">
        <f>+NÓMINA!K21</f>
        <v>0</v>
      </c>
      <c r="G14" s="88">
        <f>+C7</f>
        <v>4</v>
      </c>
      <c r="H14" s="89">
        <f>+G14*F14*D14</f>
        <v>0</v>
      </c>
      <c r="I14" s="84"/>
      <c r="J14" s="84"/>
      <c r="M14" s="26"/>
    </row>
    <row r="15" spans="2:13" x14ac:dyDescent="0.35">
      <c r="B15" s="83"/>
      <c r="C15" s="84" t="str">
        <f>+NÓMINA!A22</f>
        <v>Gerencia General</v>
      </c>
      <c r="D15" s="85">
        <v>1</v>
      </c>
      <c r="E15" s="86" t="s">
        <v>38</v>
      </c>
      <c r="F15" s="87">
        <f>+NÓMINA!K22</f>
        <v>0</v>
      </c>
      <c r="G15" s="88">
        <f>+C8</f>
        <v>30</v>
      </c>
      <c r="H15" s="89">
        <f>+G15*F15*D15</f>
        <v>0</v>
      </c>
      <c r="I15" s="84"/>
      <c r="J15" s="84"/>
      <c r="M15" s="26"/>
    </row>
    <row r="16" spans="2:13" x14ac:dyDescent="0.35">
      <c r="B16" s="99"/>
      <c r="C16" s="100"/>
      <c r="D16" s="92">
        <f>SUBTOTAL(109,D14:D15)</f>
        <v>2</v>
      </c>
      <c r="E16" s="100"/>
      <c r="F16" s="101"/>
      <c r="G16" s="102" t="s">
        <v>29</v>
      </c>
      <c r="H16" s="89">
        <f>SUM(H14:H15)</f>
        <v>0</v>
      </c>
      <c r="I16" s="84"/>
      <c r="J16" s="84"/>
      <c r="M16" s="26"/>
    </row>
    <row r="17" spans="2:13" x14ac:dyDescent="0.35">
      <c r="B17" s="99"/>
      <c r="C17" s="84"/>
      <c r="D17" s="84"/>
      <c r="E17" s="84"/>
      <c r="F17" s="178"/>
      <c r="G17" s="84"/>
      <c r="H17" s="84"/>
      <c r="I17" s="84"/>
      <c r="J17" s="84"/>
      <c r="M17" s="26"/>
    </row>
    <row r="18" spans="2:13" x14ac:dyDescent="0.35">
      <c r="B18" s="104" t="s">
        <v>36</v>
      </c>
      <c r="C18" s="104"/>
      <c r="D18" s="105"/>
      <c r="E18" s="105"/>
      <c r="F18" s="106"/>
      <c r="G18" s="107"/>
      <c r="H18" s="108"/>
      <c r="I18" s="84"/>
      <c r="J18" s="84"/>
      <c r="M18" s="26"/>
    </row>
    <row r="19" spans="2:13" x14ac:dyDescent="0.35">
      <c r="B19" s="109" t="s">
        <v>24</v>
      </c>
      <c r="C19" s="109" t="s">
        <v>1</v>
      </c>
      <c r="D19" s="109" t="s">
        <v>26</v>
      </c>
      <c r="E19" s="109" t="s">
        <v>27</v>
      </c>
      <c r="F19" s="110" t="s">
        <v>39</v>
      </c>
      <c r="G19" s="111" t="s">
        <v>34</v>
      </c>
      <c r="H19" s="112" t="s">
        <v>29</v>
      </c>
      <c r="I19" s="84"/>
      <c r="J19" s="84"/>
      <c r="M19" s="26"/>
    </row>
    <row r="20" spans="2:13" x14ac:dyDescent="0.35">
      <c r="B20" s="113"/>
      <c r="C20" s="114"/>
      <c r="D20" s="85"/>
      <c r="E20" s="86"/>
      <c r="F20" s="87"/>
      <c r="G20" s="88"/>
      <c r="H20" s="89"/>
      <c r="I20" s="84"/>
      <c r="J20" s="84"/>
      <c r="M20" s="26"/>
    </row>
    <row r="21" spans="2:13" x14ac:dyDescent="0.35">
      <c r="B21" s="113"/>
      <c r="C21" s="114"/>
      <c r="D21" s="85"/>
      <c r="E21" s="86"/>
      <c r="F21" s="87"/>
      <c r="G21" s="88"/>
      <c r="H21" s="89"/>
      <c r="I21" s="84"/>
      <c r="J21" s="84"/>
      <c r="M21" s="26"/>
    </row>
    <row r="22" spans="2:13" x14ac:dyDescent="0.35">
      <c r="B22" s="113"/>
      <c r="C22" s="114"/>
      <c r="D22" s="113"/>
      <c r="E22" s="86"/>
      <c r="F22" s="87"/>
      <c r="G22" s="88"/>
      <c r="H22" s="89"/>
      <c r="I22" s="84"/>
      <c r="J22" s="84"/>
      <c r="M22" s="26"/>
    </row>
    <row r="23" spans="2:13" x14ac:dyDescent="0.35">
      <c r="B23" s="99"/>
      <c r="C23" s="113"/>
      <c r="D23" s="113"/>
      <c r="E23" s="113"/>
      <c r="F23" s="87"/>
      <c r="G23" s="118" t="s">
        <v>29</v>
      </c>
      <c r="H23" s="89">
        <f>SUM(H20:H22)</f>
        <v>0</v>
      </c>
      <c r="I23" s="84"/>
      <c r="J23" s="84"/>
      <c r="M23" s="26"/>
    </row>
    <row r="24" spans="2:13" x14ac:dyDescent="0.35">
      <c r="B24" s="113"/>
      <c r="C24" s="113"/>
      <c r="D24" s="113"/>
      <c r="E24" s="113"/>
      <c r="F24" s="87"/>
      <c r="G24" s="113"/>
      <c r="H24" s="113"/>
      <c r="I24" s="84"/>
      <c r="J24" s="84"/>
      <c r="M24" s="26"/>
    </row>
    <row r="25" spans="2:13" x14ac:dyDescent="0.35">
      <c r="B25" s="104" t="s">
        <v>41</v>
      </c>
      <c r="C25" s="105"/>
      <c r="D25" s="105"/>
      <c r="E25" s="105"/>
      <c r="F25" s="106"/>
      <c r="G25" s="116"/>
      <c r="H25" s="112"/>
      <c r="I25" s="84"/>
      <c r="J25" s="84"/>
      <c r="M25" s="26"/>
    </row>
    <row r="26" spans="2:13" x14ac:dyDescent="0.35">
      <c r="B26" s="109" t="s">
        <v>24</v>
      </c>
      <c r="C26" s="109" t="s">
        <v>1</v>
      </c>
      <c r="D26" s="109" t="s">
        <v>26</v>
      </c>
      <c r="E26" s="109" t="s">
        <v>27</v>
      </c>
      <c r="F26" s="117" t="s">
        <v>28</v>
      </c>
      <c r="G26" s="111" t="s">
        <v>40</v>
      </c>
      <c r="H26" s="112" t="s">
        <v>29</v>
      </c>
      <c r="I26" s="84"/>
      <c r="J26" s="84"/>
      <c r="M26" s="26"/>
    </row>
    <row r="27" spans="2:13" x14ac:dyDescent="0.35">
      <c r="B27" s="113">
        <v>1</v>
      </c>
      <c r="C27" s="114" t="s">
        <v>37</v>
      </c>
      <c r="D27" s="85">
        <f>+D16</f>
        <v>2</v>
      </c>
      <c r="E27" s="86" t="s">
        <v>38</v>
      </c>
      <c r="F27" s="87">
        <v>4</v>
      </c>
      <c r="G27" s="88">
        <f>+INT($C$9*0.1)</f>
        <v>12</v>
      </c>
      <c r="H27" s="89">
        <f>+D27*F27*G27</f>
        <v>96</v>
      </c>
      <c r="I27" s="84"/>
      <c r="J27" s="84"/>
      <c r="M27" s="26"/>
    </row>
    <row r="28" spans="2:13" x14ac:dyDescent="0.35">
      <c r="B28" s="113">
        <v>2</v>
      </c>
      <c r="C28" s="114" t="s">
        <v>81</v>
      </c>
      <c r="D28" s="85">
        <f>+D27</f>
        <v>2</v>
      </c>
      <c r="E28" s="86" t="s">
        <v>38</v>
      </c>
      <c r="F28" s="87">
        <v>20</v>
      </c>
      <c r="G28" s="88">
        <f>+G27*2</f>
        <v>24</v>
      </c>
      <c r="H28" s="89">
        <f t="shared" ref="H28:H29" si="0">+D28*F28*G28</f>
        <v>960</v>
      </c>
      <c r="I28" s="84"/>
      <c r="J28" s="84"/>
      <c r="M28" s="26"/>
    </row>
    <row r="29" spans="2:13" x14ac:dyDescent="0.35">
      <c r="B29" s="113">
        <v>3</v>
      </c>
      <c r="C29" s="114" t="s">
        <v>82</v>
      </c>
      <c r="D29" s="85">
        <f>+D28</f>
        <v>2</v>
      </c>
      <c r="E29" s="86" t="s">
        <v>38</v>
      </c>
      <c r="F29" s="87">
        <v>20</v>
      </c>
      <c r="G29" s="88">
        <f>+G27</f>
        <v>12</v>
      </c>
      <c r="H29" s="89">
        <f t="shared" si="0"/>
        <v>480</v>
      </c>
      <c r="I29" s="84"/>
      <c r="J29" s="84"/>
      <c r="M29" s="26"/>
    </row>
    <row r="30" spans="2:13" x14ac:dyDescent="0.35">
      <c r="B30" s="113"/>
      <c r="C30" s="114"/>
      <c r="D30" s="85"/>
      <c r="E30" s="86"/>
      <c r="F30" s="87"/>
      <c r="G30" s="88"/>
      <c r="H30" s="89"/>
      <c r="I30" s="84"/>
      <c r="J30" s="84"/>
      <c r="M30" s="26"/>
    </row>
    <row r="31" spans="2:13" x14ac:dyDescent="0.35">
      <c r="B31" s="99"/>
      <c r="C31" s="113"/>
      <c r="D31" s="113"/>
      <c r="E31" s="113"/>
      <c r="F31" s="87"/>
      <c r="G31" s="118" t="s">
        <v>29</v>
      </c>
      <c r="H31" s="89">
        <f>SUM(H27:H30)</f>
        <v>1536</v>
      </c>
      <c r="I31" s="84"/>
      <c r="J31" s="84"/>
      <c r="M31" s="26"/>
    </row>
    <row r="32" spans="2:13" x14ac:dyDescent="0.35">
      <c r="B32" s="113"/>
      <c r="C32" s="113"/>
      <c r="D32" s="113"/>
      <c r="E32" s="113"/>
      <c r="F32" s="87"/>
      <c r="G32" s="113"/>
      <c r="H32" s="113"/>
      <c r="I32" s="84"/>
      <c r="J32" s="84"/>
      <c r="M32" s="26"/>
    </row>
    <row r="33" spans="2:9" x14ac:dyDescent="0.35">
      <c r="B33" s="113"/>
      <c r="C33" s="113"/>
      <c r="D33" s="113"/>
      <c r="E33" s="113"/>
      <c r="F33" s="87"/>
      <c r="G33" s="113"/>
      <c r="H33" s="87"/>
    </row>
    <row r="34" spans="2:9" ht="13.5" customHeight="1" x14ac:dyDescent="0.35">
      <c r="B34" s="179" t="s">
        <v>42</v>
      </c>
      <c r="C34" s="180"/>
      <c r="D34" s="180"/>
      <c r="E34" s="180"/>
      <c r="F34" s="180"/>
      <c r="G34" s="181"/>
      <c r="H34" s="182">
        <f>+H31+H23+H16</f>
        <v>1536</v>
      </c>
    </row>
    <row r="35" spans="2:9" ht="13.5" customHeight="1" x14ac:dyDescent="0.35">
      <c r="B35" s="123"/>
      <c r="C35" s="123"/>
      <c r="D35" s="123"/>
      <c r="E35" s="123"/>
      <c r="F35" s="124"/>
      <c r="G35" s="169"/>
      <c r="H35" s="125"/>
    </row>
    <row r="36" spans="2:9" x14ac:dyDescent="0.35">
      <c r="B36" s="179" t="s">
        <v>30</v>
      </c>
      <c r="C36" s="180"/>
      <c r="D36" s="180"/>
      <c r="E36" s="180"/>
      <c r="F36" s="180"/>
      <c r="G36" s="181"/>
      <c r="H36" s="182">
        <f>+H34*0.15</f>
        <v>230.39999999999998</v>
      </c>
    </row>
    <row r="37" spans="2:9" x14ac:dyDescent="0.35">
      <c r="B37" s="183"/>
      <c r="C37" s="183"/>
      <c r="D37" s="183"/>
      <c r="E37" s="183"/>
      <c r="F37" s="184"/>
      <c r="G37" s="183"/>
      <c r="H37" s="185"/>
      <c r="I37" s="19" t="s">
        <v>95</v>
      </c>
    </row>
    <row r="38" spans="2:9" x14ac:dyDescent="0.35">
      <c r="B38" s="186" t="s">
        <v>97</v>
      </c>
      <c r="C38" s="187"/>
      <c r="D38" s="187"/>
      <c r="E38" s="187"/>
      <c r="F38" s="187"/>
      <c r="G38" s="188"/>
      <c r="H38" s="128">
        <f>+H34+H36</f>
        <v>1766.4</v>
      </c>
    </row>
    <row r="39" spans="2:9" x14ac:dyDescent="0.35">
      <c r="B39" s="123"/>
      <c r="C39" s="123"/>
      <c r="D39" s="123"/>
      <c r="E39" s="123"/>
      <c r="F39" s="124"/>
      <c r="G39" s="169"/>
      <c r="H39" s="129"/>
    </row>
  </sheetData>
  <mergeCells count="5">
    <mergeCell ref="B2:M2"/>
    <mergeCell ref="B12:H12"/>
    <mergeCell ref="B34:G34"/>
    <mergeCell ref="B36:G36"/>
    <mergeCell ref="B38:G38"/>
  </mergeCell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B6"/>
  <sheetViews>
    <sheetView workbookViewId="0">
      <selection activeCell="B5" sqref="B5"/>
    </sheetView>
  </sheetViews>
  <sheetFormatPr baseColWidth="10" defaultRowHeight="14.5" x14ac:dyDescent="0.35"/>
  <sheetData>
    <row r="2" spans="1:2" x14ac:dyDescent="0.35">
      <c r="A2" s="13" t="s">
        <v>98</v>
      </c>
      <c r="B2" t="s">
        <v>104</v>
      </c>
    </row>
    <row r="3" spans="1:2" x14ac:dyDescent="0.35">
      <c r="A3" s="12" t="s">
        <v>99</v>
      </c>
      <c r="B3" t="s">
        <v>105</v>
      </c>
    </row>
    <row r="4" spans="1:2" x14ac:dyDescent="0.35">
      <c r="A4" s="12" t="s">
        <v>100</v>
      </c>
      <c r="B4" t="s">
        <v>106</v>
      </c>
    </row>
    <row r="5" spans="1:2" x14ac:dyDescent="0.35">
      <c r="A5" s="12" t="s">
        <v>101</v>
      </c>
    </row>
    <row r="6" spans="1:2" x14ac:dyDescent="0.35">
      <c r="A6" s="1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RESUMEN</vt:lpstr>
      <vt:lpstr>ESCENARIO</vt:lpstr>
      <vt:lpstr>NÓMINA</vt:lpstr>
      <vt:lpstr>C1 - PERSONAL TECNICO</vt:lpstr>
      <vt:lpstr>C-2 ALQUILER - MISCELANEOS</vt:lpstr>
      <vt:lpstr>C3 - DIRECCION</vt:lpstr>
      <vt:lpstr>TABLAS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</dc:creator>
  <cp:lastModifiedBy>Angie Montenegro</cp:lastModifiedBy>
  <cp:lastPrinted>2022-01-08T04:48:28Z</cp:lastPrinted>
  <dcterms:created xsi:type="dcterms:W3CDTF">2021-11-03T02:49:47Z</dcterms:created>
  <dcterms:modified xsi:type="dcterms:W3CDTF">2022-08-10T22:59:38Z</dcterms:modified>
</cp:coreProperties>
</file>